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075" windowHeight="11445" activeTab="0"/>
  </bookViews>
  <sheets>
    <sheet name="付表2-1 一般会計・特会・当初予算" sheetId="1" r:id="rId1"/>
  </sheets>
  <definedNames/>
  <calcPr fullCalcOnLoad="1"/>
</workbook>
</file>

<file path=xl/comments1.xml><?xml version="1.0" encoding="utf-8"?>
<comments xmlns="http://schemas.openxmlformats.org/spreadsheetml/2006/main">
  <authors>
    <author>RIETI</author>
    <author>KITAURA,Takashi</author>
    <author>吉田</author>
  </authors>
  <commentList>
    <comment ref="BE26" authorId="0">
      <text>
        <r>
          <rPr>
            <b/>
            <sz val="14"/>
            <rFont val="ＭＳ Ｐゴシック"/>
            <family val="3"/>
          </rPr>
          <t>143と144の数値を確認</t>
        </r>
      </text>
    </comment>
    <comment ref="AW45" authorId="1">
      <text>
        <r>
          <rPr>
            <b/>
            <sz val="9"/>
            <rFont val="ＭＳ Ｐゴシック"/>
            <family val="3"/>
          </rPr>
          <t>KITAURA,Takashi:</t>
        </r>
        <r>
          <rPr>
            <sz val="9"/>
            <rFont val="ＭＳ Ｐゴシック"/>
            <family val="3"/>
          </rPr>
          <t xml:space="preserve">
注記で対応</t>
        </r>
      </text>
    </comment>
    <comment ref="BM52" authorId="0">
      <text>
        <r>
          <rPr>
            <b/>
            <sz val="9"/>
            <rFont val="ＭＳ Ｐゴシック"/>
            <family val="3"/>
          </rPr>
          <t>「株式会社日本政策金融公庫出資金」がカウントされず（国の予算）</t>
        </r>
      </text>
    </comment>
    <comment ref="BD99" authorId="0">
      <text>
        <r>
          <rPr>
            <b/>
            <sz val="12"/>
            <rFont val="ＭＳ Ｐゴシック"/>
            <family val="3"/>
          </rPr>
          <t>経済協力費にカウント（通産省予算経費要求書）
国の予算ではその他事項経費へカウント</t>
        </r>
      </text>
    </comment>
    <comment ref="AB143" authorId="1">
      <text>
        <r>
          <rPr>
            <b/>
            <sz val="9"/>
            <rFont val="ＭＳ Ｐゴシック"/>
            <family val="3"/>
          </rPr>
          <t>KITAURA,Takashi:</t>
        </r>
        <r>
          <rPr>
            <sz val="9"/>
            <rFont val="ＭＳ Ｐゴシック"/>
            <family val="3"/>
          </rPr>
          <t xml:space="preserve">
200,000差異不明</t>
        </r>
      </text>
    </comment>
    <comment ref="BD160" authorId="0">
      <text>
        <r>
          <rPr>
            <b/>
            <sz val="9"/>
            <rFont val="ＭＳ Ｐゴシック"/>
            <family val="3"/>
          </rPr>
          <t>RIETI:</t>
        </r>
        <r>
          <rPr>
            <sz val="9"/>
            <rFont val="ＭＳ Ｐゴシック"/>
            <family val="3"/>
          </rPr>
          <t xml:space="preserve">
平成12年度に記された前年度の数字は「70030606」</t>
        </r>
      </text>
    </comment>
    <comment ref="BD161" authorId="0">
      <text>
        <r>
          <rPr>
            <b/>
            <sz val="9"/>
            <rFont val="ＭＳ Ｐゴシック"/>
            <family val="3"/>
          </rPr>
          <t>RIETI:</t>
        </r>
        <r>
          <rPr>
            <sz val="9"/>
            <rFont val="ＭＳ Ｐゴシック"/>
            <family val="3"/>
          </rPr>
          <t xml:space="preserve">
平成12年度に記された前年度の数字は「5417048」</t>
        </r>
      </text>
    </comment>
    <comment ref="BD162" authorId="0">
      <text>
        <r>
          <rPr>
            <b/>
            <sz val="9"/>
            <rFont val="ＭＳ Ｐゴシック"/>
            <family val="3"/>
          </rPr>
          <t>RIETI:</t>
        </r>
        <r>
          <rPr>
            <sz val="9"/>
            <rFont val="ＭＳ Ｐゴシック"/>
            <family val="3"/>
          </rPr>
          <t xml:space="preserve">
平成12年度に記された前年度の数字は、「129332779」</t>
        </r>
      </text>
    </comment>
    <comment ref="BD164" authorId="0">
      <text>
        <r>
          <rPr>
            <b/>
            <sz val="9"/>
            <rFont val="ＭＳ Ｐゴシック"/>
            <family val="3"/>
          </rPr>
          <t>RIETI:</t>
        </r>
        <r>
          <rPr>
            <sz val="9"/>
            <rFont val="ＭＳ Ｐゴシック"/>
            <family val="3"/>
          </rPr>
          <t xml:space="preserve">
平成12年度に記された前年度の数字は「6700000」</t>
        </r>
      </text>
    </comment>
    <comment ref="AK206" authorId="2">
      <text>
        <r>
          <rPr>
            <sz val="9"/>
            <rFont val="ＭＳ Ｐゴシック"/>
            <family val="3"/>
          </rPr>
          <t>通産省年報の数字(7,497,910)と不一致
ただし、財務省の予算書との一致を確認</t>
        </r>
      </text>
    </comment>
    <comment ref="A238" authorId="0">
      <text>
        <r>
          <rPr>
            <sz val="9"/>
            <rFont val="ＭＳ Ｐゴシック"/>
            <family val="3"/>
          </rPr>
          <t>「簡素で効率的な政府を実現するための行政改革の推進に関する法律」（平18法47）に基づき、平成19年度に、石油及びエネルギー需給構造高度化対策特別会計と電源開発促進対策特別会計を統合するとともに、電源開発促進税を特会直入方式から石油石炭税のような一般会計繰入方式に変更し、エネルギー対策に関する経理を明確にするために、「エネルギー対策特別会計」設置された。</t>
        </r>
      </text>
    </comment>
    <comment ref="A303" authorId="0">
      <text>
        <r>
          <rPr>
            <b/>
            <sz val="9"/>
            <rFont val="ＭＳ Ｐゴシック"/>
            <family val="3"/>
          </rPr>
          <t>RIETI:</t>
        </r>
        <r>
          <rPr>
            <sz val="9"/>
            <rFont val="ＭＳ Ｐゴシック"/>
            <family val="3"/>
          </rPr>
          <t xml:space="preserve">
平成14年度から「石油及びエネルギー需給構造高度化対策特別会計」に改める。</t>
        </r>
      </text>
    </comment>
    <comment ref="BG306" authorId="0">
      <text>
        <r>
          <rPr>
            <sz val="12"/>
            <rFont val="ＭＳ Ｐゴシック"/>
            <family val="3"/>
          </rPr>
          <t>「国の予算」平成14年度版、763頁では、歳出の合計0円に。石炭勘定の説明では、歳出所要見込額48481百万円は、原油等関税収入38000百万円及び前年度剰余金受入等10481百万円をもって賄うこととしている。</t>
        </r>
      </text>
    </comment>
    <comment ref="BK318" authorId="0">
      <text>
        <r>
          <rPr>
            <sz val="11"/>
            <rFont val="ＭＳ Ｐゴシック"/>
            <family val="3"/>
          </rPr>
          <t xml:space="preserve">経済産業省所管
</t>
        </r>
      </text>
    </comment>
  </commentList>
</comments>
</file>

<file path=xl/sharedStrings.xml><?xml version="1.0" encoding="utf-8"?>
<sst xmlns="http://schemas.openxmlformats.org/spreadsheetml/2006/main" count="470" uniqueCount="357">
  <si>
    <t>信用保証協会貸付金</t>
  </si>
  <si>
    <t>委託手数料</t>
  </si>
  <si>
    <t>緊要物資輸入基金特別会計</t>
  </si>
  <si>
    <r>
      <t>機械類信用保険特別会計(保険特別会計）　</t>
    </r>
    <r>
      <rPr>
        <sz val="11"/>
        <color indexed="12"/>
        <rFont val="ＭＳ Ｐゴシック"/>
        <family val="3"/>
      </rPr>
      <t>S59.10.1廃止（中小企業信用保険公庫へ）</t>
    </r>
  </si>
  <si>
    <t>保険金</t>
  </si>
  <si>
    <t>中小企業高度化資金融通特別会計</t>
  </si>
  <si>
    <t>高度化資金貸付金</t>
  </si>
  <si>
    <t>工場等集団化資金貸付</t>
  </si>
  <si>
    <t>商業集団化資金貸付</t>
  </si>
  <si>
    <t>商工業協業化資金貸付</t>
  </si>
  <si>
    <t>特別鉱害復旧特別会計</t>
  </si>
  <si>
    <t>他会計へ繰入</t>
  </si>
  <si>
    <t>特定物資納付金処理特別会計</t>
  </si>
  <si>
    <t>特許特別会計（管理特別会計）</t>
  </si>
  <si>
    <t>施設整備費</t>
  </si>
  <si>
    <t>独立行政法人工業所有権総合情報（・研修）館運営費</t>
  </si>
  <si>
    <r>
      <t>電源開発促進対策特別会計（整理特別会計）　</t>
    </r>
    <r>
      <rPr>
        <sz val="11"/>
        <color indexed="12"/>
        <rFont val="ＭＳ Ｐゴシック"/>
        <family val="3"/>
      </rPr>
      <t>S49.10.1設置</t>
    </r>
  </si>
  <si>
    <t xml:space="preserve">    電源立地勘定</t>
  </si>
  <si>
    <t>電源立地対策費（S56～）←※１＋※２</t>
  </si>
  <si>
    <t>電源立地促進対策交付金※１</t>
  </si>
  <si>
    <t>電源立地等推進対策委託費</t>
  </si>
  <si>
    <t>電源立地特別交付金</t>
  </si>
  <si>
    <t>電源立地地域対策交付金</t>
  </si>
  <si>
    <t>水力発電施設周辺地域交付金</t>
  </si>
  <si>
    <t>電源地域工業団地造成利子補給金</t>
  </si>
  <si>
    <t>電源立地等推進対策補助金</t>
  </si>
  <si>
    <t>電源立地等推進対策交付金</t>
  </si>
  <si>
    <t>原子力発電安全等対策費※２</t>
  </si>
  <si>
    <t>原子力発電安全対策等委託費</t>
  </si>
  <si>
    <t>原子力施設等防災対策等委託費</t>
  </si>
  <si>
    <t>原子力発電安全対策等補助金</t>
  </si>
  <si>
    <t>原子力発電安全対策等交付金</t>
  </si>
  <si>
    <t>原子力発電施設等周辺地域工業団地造成利子補給金</t>
  </si>
  <si>
    <t>国際原子力機関等拠出金</t>
  </si>
  <si>
    <t>原子力施設等防災対策等交付金</t>
  </si>
  <si>
    <t>独立行政法人原子力安全基盤機構運営費</t>
  </si>
  <si>
    <t>独立行政法人原子力安全基盤機構電源立地勘定運営費交付金</t>
  </si>
  <si>
    <t>周辺地域整備資金へ繰入</t>
  </si>
  <si>
    <t xml:space="preserve">    電源多様化勘定　S55～、電源利用勘定　H15～</t>
  </si>
  <si>
    <t>電源多様化対策費、電源利用対策費</t>
  </si>
  <si>
    <t>水力発電開発導入促進対策費</t>
  </si>
  <si>
    <t>石炭（等）火力発電開発導入促進対策費</t>
  </si>
  <si>
    <t>地熱発電開発導入促進対策費</t>
  </si>
  <si>
    <t>電源供給安定化対策費</t>
  </si>
  <si>
    <t>太陽エネルギー発電等開発導入促進対策費</t>
  </si>
  <si>
    <t>原子力発電開発導入促進対策費</t>
  </si>
  <si>
    <t>動力炉・核燃料開発事業団出資及び助成費</t>
  </si>
  <si>
    <t>新エネルギー総合開発機構交付金</t>
  </si>
  <si>
    <t>新エネルギー・産業技術総合開発機構事務費等経費</t>
  </si>
  <si>
    <t>核燃料サイクル開発機構補助</t>
  </si>
  <si>
    <t>核燃料サイクル開発機構出資</t>
  </si>
  <si>
    <t>発電技術等調査研究委託費</t>
  </si>
  <si>
    <t>使用済核燃料再処理技術確証調査等委託費</t>
  </si>
  <si>
    <t>原子力発電施設等安全技術対策委託費</t>
  </si>
  <si>
    <t>軽水炉等改良技術確証試験等委託費</t>
  </si>
  <si>
    <t>放射性廃棄物処分基準調査等委託費</t>
  </si>
  <si>
    <t>電源利用技術開発等委託費</t>
  </si>
  <si>
    <t>負荷平準化機器等導入促進事業費補助金</t>
  </si>
  <si>
    <t>ウラン濃縮技術確立費等補助金</t>
  </si>
  <si>
    <t>全炉心混合酸化物燃料原子炉施設技術開発費補助金</t>
  </si>
  <si>
    <t>原子力発電関連技術開発費等補助金</t>
  </si>
  <si>
    <t>電源利用対策発電システム技術開発費補助金</t>
  </si>
  <si>
    <t>独立行政法人新エネルギー・産業技術総合開発機構運営費</t>
  </si>
  <si>
    <t>独立行政法人日本原子力研究開発機構運営費</t>
  </si>
  <si>
    <t>独立行政法人日本原子力研究開発機構施設整備費</t>
  </si>
  <si>
    <t>石炭並びに石油及び石油代替エネルギー対策特別会計（整理特別会計）</t>
  </si>
  <si>
    <t>石炭並びに石油及びエネルギー需給構造高度化対策特別会計（整理特別会計）H5FYより</t>
  </si>
  <si>
    <t>Ⅰ　石炭勘定</t>
  </si>
  <si>
    <t>（通商産業省・経済産業省所管分）</t>
  </si>
  <si>
    <t>石炭鉱業合理化安定対策費</t>
  </si>
  <si>
    <t>鉱害対策費</t>
  </si>
  <si>
    <t>産炭地域振興対策費</t>
  </si>
  <si>
    <t>賛嘆地域経過事業費</t>
  </si>
  <si>
    <t>事務処理費</t>
  </si>
  <si>
    <t>（労働省所管分）</t>
  </si>
  <si>
    <t>（厚生労働省所管分）</t>
  </si>
  <si>
    <t>（その他）</t>
  </si>
  <si>
    <t>諸支出金</t>
  </si>
  <si>
    <t>II　石油及び石油代替エネルギー勘定</t>
  </si>
  <si>
    <t>II　石油及びエネルギー需給構造高度化勘定（H５FYより）</t>
  </si>
  <si>
    <t>石油資源対策費・石油安定供給対策費</t>
  </si>
  <si>
    <t>燃料安定供給対策費</t>
  </si>
  <si>
    <t>石油生産流通合理化技術調査費・石油生産流通合理化対策費</t>
  </si>
  <si>
    <t>石油代替エネルギー対策費</t>
  </si>
  <si>
    <t>エネルギー需給構造高度化対策費</t>
  </si>
  <si>
    <t>独立行政法人新エネルギー・産業技術総合開発機構運営費</t>
  </si>
  <si>
    <t>独立行政法人新エネルギー・産業技術総合開発機構出資</t>
  </si>
  <si>
    <t>独立行政法人石油天然ガス・金属鉱物資源機構運営費</t>
  </si>
  <si>
    <t>独立行政法人石油天然ガス・金属鉱物資源機構出資</t>
  </si>
  <si>
    <t>事務処理費</t>
  </si>
  <si>
    <t>特別会計歳出計</t>
  </si>
  <si>
    <t>予備費を除く</t>
  </si>
  <si>
    <t>予備費及国債整理基金特別会計繰入を除く</t>
  </si>
  <si>
    <t>予備費小計</t>
  </si>
  <si>
    <t>国債整理基金特別会計繰入小計</t>
  </si>
  <si>
    <t>電特・石特歳出計</t>
  </si>
  <si>
    <t>予備費及び国債整理基金特別会計繰入を除く</t>
  </si>
  <si>
    <t>（備考）本表作成について</t>
  </si>
  <si>
    <t>１．資料</t>
  </si>
  <si>
    <t>『國の予算』、「概算要求書（通商産業大臣提出分）」、『通商産業省年報』（いずれも各該当年度のものを使用）</t>
  </si>
  <si>
    <t>２．作成の方針</t>
  </si>
  <si>
    <t>作表に当たっては、『國の予算』による分類をベースとしている。</t>
  </si>
  <si>
    <t>ただし、『國の予算』が存在しないか或いは同書の項目分類の仕方が定まらない昭和25～32年度および省庁再編後に「その他の事項」の詳細が分からなくなる平成12年度以降については、各年度「概算要求書（通商産業大臣提出分）」のデータを利用した。</t>
  </si>
  <si>
    <t>３．作成手順</t>
  </si>
  <si>
    <t>(一般会計）</t>
  </si>
  <si>
    <t>「経済産業省財務書類」により、政府予算一般会計歳出における通商産業省関連予算を確認。</t>
  </si>
  <si>
    <t>「國の予算」より該当部分を抽出し、通商産業省一般会計予算を推計。</t>
  </si>
  <si>
    <t>「通商産業省年報」と上記の抽出結果を突合。公共事業関係費について「通商産業省年報」に基づき、「國の予算」掲載の予算額を補正。</t>
  </si>
  <si>
    <t>一般会計について、抽出・推計結果と通商産業省年報掲載予算総額の一致を確認。（一部未確認）</t>
  </si>
  <si>
    <t>（特別会計）</t>
  </si>
  <si>
    <t>「國の予算」より該当部分を抽出。</t>
  </si>
  <si>
    <t>特別会計については、各特別会計の歳出額と、通商産業省年報掲載の予算額の一致を確認。（一部未確認）</t>
  </si>
  <si>
    <t>（注）「通商産業省年報」の石炭勘定予算については労働省所管分が含まれる。</t>
  </si>
  <si>
    <t>(平成３年以降の林道工業用等事業費について)</t>
  </si>
  <si>
    <t>問題点･･･『國の予算』では、通産省、国土庁、沖縄開発庁分の合計のみが記載されている。</t>
  </si>
  <si>
    <t>　　　　　　　平成２年以前は「通商産業省年報」に通産省分の内訳が記載されていたが、平成３年以降はその記載がなくなっている。</t>
  </si>
  <si>
    <t>解決策･･･平成３年度から平成１１年度については、「通商産業年報」の一般会計予算額から林道工業用等事業費以外の予算合計額を差し引くことで</t>
  </si>
  <si>
    <t>　　　　　　　林道工業用事業費を計算している。</t>
  </si>
  <si>
    <t>実施結果･･･差額計算した林道工業用水等事業費は、通産省、国土庁および沖縄開発庁の合算合計を下回っている。</t>
  </si>
  <si>
    <t>（昭和33～47年度の一般会計「その他事項経費」の「通商産業省一般行政費」について）</t>
  </si>
  <si>
    <t>問題点・・・『國の予算』では、工業技術院および特許庁の一般行政費をそれぞれ個別に括りだすことができない。</t>
  </si>
  <si>
    <t>解決策・・・昭和33～47年度までは、各年度一般会計予算の「甲号 予定経費要求書　通商産業省所管」より「一般行政に必要な経費」を括りだし、「その他の事項経費」の「通商産業省一般行政費－一般行政費」の値とした。</t>
  </si>
  <si>
    <t>　　　　　　　ただし、工業技術院と特許庁の一般行政費については、それぞれ「科学技術振興費」の「上記以外各省庁経常経費」と「その他の事項経費」の「特許行政費」に合算した。</t>
  </si>
  <si>
    <t>(S50,51年の科学技術振興費について)</t>
  </si>
  <si>
    <t>問題点･･･S50年、51年について工業標準化法施行費等については、該当する原子力関係費、宇宙関係費が存在しない。</t>
  </si>
  <si>
    <t>解決策･･･該当する費用については、科学技術振興費の（７）上記以外の各省庁経常経費に入れる。</t>
  </si>
  <si>
    <t>実施結果･･･合計ベースでは年報と一致した。</t>
  </si>
  <si>
    <t>(H12年の【一般会計】その他の事項経費について)</t>
  </si>
  <si>
    <t>省庁再編により、『国の予算』では確認がとれなくなったため、「平成12年度通商産業省　甲号 予定経費要求書」「平成12年度経済産業所管　</t>
  </si>
  <si>
    <t>甲号 予定経費要求書」の事項95を抜出し、合算して作表した。</t>
  </si>
  <si>
    <t>（平成19年度の「エネルギー対策特別会計」について）</t>
  </si>
  <si>
    <t>「簡素で効率的な政府を実現するための行政改革の推進に関する法律」（平18法47）に基づき、平成19年度に、石油及びエネルギー需給構造高度化</t>
  </si>
  <si>
    <t>対策特別会計と電源開発促進対策特別会計を統合するとともに、電源開発促進税を特会直入方式から石油石炭税のような一般会計繰入方式に変更し、</t>
  </si>
  <si>
    <t>エネルギー対策に関する経理を明確にするために設置された。</t>
  </si>
  <si>
    <t>（単位)千円</t>
  </si>
  <si>
    <t>（北浦貴士・大島朋剛作成）</t>
  </si>
  <si>
    <t>（注意）第二期通産政策史総論のために用意したもの（公的に作成されたものではない）。</t>
  </si>
  <si>
    <t>【一般会計】</t>
  </si>
  <si>
    <t>　</t>
  </si>
  <si>
    <t>(単位：千円)</t>
  </si>
  <si>
    <t>S25年度</t>
  </si>
  <si>
    <t>S26年度</t>
  </si>
  <si>
    <t>S27年度</t>
  </si>
  <si>
    <t>S28年度</t>
  </si>
  <si>
    <t>S29年度</t>
  </si>
  <si>
    <t>S30年度</t>
  </si>
  <si>
    <t>S31年度</t>
  </si>
  <si>
    <t>S32年度</t>
  </si>
  <si>
    <t>S33年度</t>
  </si>
  <si>
    <t>S34年度</t>
  </si>
  <si>
    <t>S35年度</t>
  </si>
  <si>
    <t>S36年度</t>
  </si>
  <si>
    <t>S37年度</t>
  </si>
  <si>
    <t>S38年度</t>
  </si>
  <si>
    <t>S39年度</t>
  </si>
  <si>
    <t>S40年度</t>
  </si>
  <si>
    <t>S41年度</t>
  </si>
  <si>
    <t>S42年度</t>
  </si>
  <si>
    <t>S43年度</t>
  </si>
  <si>
    <t>S44年度</t>
  </si>
  <si>
    <t>S45年度</t>
  </si>
  <si>
    <t>S46年度</t>
  </si>
  <si>
    <t>S47年度</t>
  </si>
  <si>
    <t>S48年度</t>
  </si>
  <si>
    <t>S49年度</t>
  </si>
  <si>
    <t>S50年度</t>
  </si>
  <si>
    <t>S51年度</t>
  </si>
  <si>
    <t>S52年度</t>
  </si>
  <si>
    <t>S53年度</t>
  </si>
  <si>
    <t>S54年度</t>
  </si>
  <si>
    <t>S55年度</t>
  </si>
  <si>
    <t>S56年度</t>
  </si>
  <si>
    <t>S57年度</t>
  </si>
  <si>
    <t>S58年度</t>
  </si>
  <si>
    <t>S59年度</t>
  </si>
  <si>
    <t>S60年度</t>
  </si>
  <si>
    <t>S61年度</t>
  </si>
  <si>
    <t>S62年度</t>
  </si>
  <si>
    <t>S63年度</t>
  </si>
  <si>
    <t>H元年度</t>
  </si>
  <si>
    <t>H2年度</t>
  </si>
  <si>
    <t>H3年度</t>
  </si>
  <si>
    <t>H4年度</t>
  </si>
  <si>
    <t>H5年度</t>
  </si>
  <si>
    <t>H6年度</t>
  </si>
  <si>
    <t>H7年度</t>
  </si>
  <si>
    <t>H8年度</t>
  </si>
  <si>
    <t>H9年度</t>
  </si>
  <si>
    <t>H10年度</t>
  </si>
  <si>
    <t>H11年度</t>
  </si>
  <si>
    <t>H12年度</t>
  </si>
  <si>
    <t>H13年度</t>
  </si>
  <si>
    <t>H14年度</t>
  </si>
  <si>
    <t>H15年度</t>
  </si>
  <si>
    <t>H16年度</t>
  </si>
  <si>
    <t>H17年度</t>
  </si>
  <si>
    <t>H18年度</t>
  </si>
  <si>
    <t>H19年度</t>
  </si>
  <si>
    <t>H20年度</t>
  </si>
  <si>
    <t>文教及び科学振興費</t>
  </si>
  <si>
    <t>科学技術振興費</t>
  </si>
  <si>
    <t>宇宙開発関係経費(通商産業本省）</t>
  </si>
  <si>
    <t>宇宙開発関係経費(工業技術院）</t>
  </si>
  <si>
    <t>宇宙開発関係経費(産業技術総合研究所）</t>
  </si>
  <si>
    <t>海洋開発関係経費</t>
  </si>
  <si>
    <t>大型工業技術関係経費・産業技術基盤関係経費</t>
  </si>
  <si>
    <t>新エネルギー技術関係経費</t>
  </si>
  <si>
    <t>電子計算機産業振興対策費</t>
  </si>
  <si>
    <t>原子力関係経費</t>
  </si>
  <si>
    <t>上記以外の各省庁経常経費</t>
  </si>
  <si>
    <t>産業技術振興費</t>
  </si>
  <si>
    <t>産業技術振興施設費</t>
  </si>
  <si>
    <t>独立行政法人産業技術総合研究所</t>
  </si>
  <si>
    <t>独立行政法人新エネルギー・産業技術総合開発機構</t>
  </si>
  <si>
    <t>独立行政法人情報処理推進機構</t>
  </si>
  <si>
    <t>公共事業関係費</t>
  </si>
  <si>
    <t>林道工業用水等事業費</t>
  </si>
  <si>
    <t>工業用水道事業費(国土庁、沖縄開発庁分を含む）</t>
  </si>
  <si>
    <t>（うち通商産業省所管分）　通産省年報より引用</t>
  </si>
  <si>
    <t>経済協力費</t>
  </si>
  <si>
    <t>日本貿易振興会出資・海外貿易開発事業</t>
  </si>
  <si>
    <t>日本貿易振興会のアジア地域等の調査研究等に必要な経費</t>
  </si>
  <si>
    <t>海外開発計画調査委託事業・海外開発計画調査事業(費)</t>
  </si>
  <si>
    <t>技術協力及国際協力委託事業(費)</t>
  </si>
  <si>
    <t>技術協力事業費補助</t>
  </si>
  <si>
    <t>国際産業技術研究事業(費)</t>
  </si>
  <si>
    <t>国際機関拠出金関係</t>
  </si>
  <si>
    <t>国連工業開発機構拠出金</t>
  </si>
  <si>
    <t>東南アジア貿易投資観光促進センター拠出金</t>
  </si>
  <si>
    <t>技術移転研究事業</t>
  </si>
  <si>
    <t>経済協力促進調査指導及び広報</t>
  </si>
  <si>
    <t>投資及開発輸入促進委託事業</t>
  </si>
  <si>
    <t>投資及開発輸入促進事業費補助</t>
  </si>
  <si>
    <t>投資及開発輸入促進事業(費)</t>
  </si>
  <si>
    <t>研究協力推進委託事業</t>
  </si>
  <si>
    <t>研究協力プロジェクト推進事業</t>
  </si>
  <si>
    <t>研究開発協力事業費補助</t>
  </si>
  <si>
    <t>研究協力推進事業</t>
  </si>
  <si>
    <t>海外技術センター事業委託費</t>
  </si>
  <si>
    <t>その他</t>
  </si>
  <si>
    <t>中小企業対策費</t>
  </si>
  <si>
    <t>中小企業(振興)事業団（出資金、運営費補助）</t>
  </si>
  <si>
    <t>中小企業総合事業団（出資金、事業運営費補助）</t>
  </si>
  <si>
    <t>小規模企業共済事業団・中小企業共済事業団</t>
  </si>
  <si>
    <t>中小企業近代化促進費</t>
  </si>
  <si>
    <t>中小企業事業環境整備費</t>
  </si>
  <si>
    <t>中小企業の経営支援費</t>
  </si>
  <si>
    <t>中小企業の経営革新・創業促進</t>
  </si>
  <si>
    <t>独立行政法人中小企業基盤整備機構運営費</t>
  </si>
  <si>
    <t>独立行政法人中小企業基盤整備機構施設整備費</t>
  </si>
  <si>
    <t>小規模事業対策費</t>
  </si>
  <si>
    <t>中小企業技術力強化費</t>
  </si>
  <si>
    <t>中小企業指導事業費</t>
  </si>
  <si>
    <t>中小企業団体中央会補助・組織化対策費</t>
  </si>
  <si>
    <t>小企業(等)経営改善資金貸付金</t>
  </si>
  <si>
    <t>繊維工業構造改善事業協会出資金</t>
  </si>
  <si>
    <t>商工組合中央金庫出資金</t>
  </si>
  <si>
    <t>中小企業金融公庫出資金</t>
  </si>
  <si>
    <t>株式会社日本政策金融公庫出資金</t>
  </si>
  <si>
    <t>中小企業金融公庫補給金</t>
  </si>
  <si>
    <t>株式会社日本政策金融公庫補給金</t>
  </si>
  <si>
    <t>信用保証協会基金補助(金)</t>
  </si>
  <si>
    <t>輸出信用保険特別会計へ繰入</t>
  </si>
  <si>
    <t>機械類信用保険特別会計へ繰入</t>
  </si>
  <si>
    <t>研究開発型新企業育成促進費補助</t>
  </si>
  <si>
    <t>消費税導入円滑化対策</t>
  </si>
  <si>
    <t>中心市街地活性化対策費</t>
  </si>
  <si>
    <t>臨時繊維産業特別対策費</t>
  </si>
  <si>
    <t>エネルギー対策費（S53年度～）</t>
  </si>
  <si>
    <t>省エネルギー技術関係経費</t>
  </si>
  <si>
    <t>エネルギー対策経費</t>
  </si>
  <si>
    <t>石炭並びに石油及び石油代替エネルギー対策特別会計（石油及び石油代替エネルギー勘定）、石炭並びに石油及びエネルギー需給構造高度化対策特別会計（石油及びエネルギー需給構造高度化勘定）へ繰入</t>
  </si>
  <si>
    <t>エネルギー対策特別会計（電源開発促進勘定）へ繰入</t>
  </si>
  <si>
    <t>その他の経費</t>
  </si>
  <si>
    <t>その他の事項経費（通商産業省）</t>
  </si>
  <si>
    <t>通商産業省一般行政費</t>
  </si>
  <si>
    <t>一般行政費</t>
  </si>
  <si>
    <t>貿易対策費・貿易振興費</t>
  </si>
  <si>
    <t>日本貿易振興会事業運営費</t>
  </si>
  <si>
    <t>海外市場調査費</t>
  </si>
  <si>
    <t>貿易の円滑化等経費</t>
  </si>
  <si>
    <t>製品品質及意匠向上費</t>
  </si>
  <si>
    <t>アジア経済研究所事業運営費</t>
  </si>
  <si>
    <t>生産性向上対策費</t>
  </si>
  <si>
    <t>民活特定施設整備事業緊急実施費・民活特定施設緊急整備費</t>
  </si>
  <si>
    <t>知識融合型新企業育成費・特定新(規)事業等育成費</t>
  </si>
  <si>
    <t>商務流通行政費</t>
  </si>
  <si>
    <t>万博関係</t>
  </si>
  <si>
    <t>万博関係費</t>
  </si>
  <si>
    <t>国際博覧会事業参加費</t>
  </si>
  <si>
    <t>国際博覧会開催準備費</t>
  </si>
  <si>
    <t>製品及化学物質等安全性確保向上対策費</t>
  </si>
  <si>
    <t>産業立地適正化及立地条件整備費</t>
  </si>
  <si>
    <t>産業復興支援事業費</t>
  </si>
  <si>
    <t>高圧ガス及び火薬類保安対策費</t>
  </si>
  <si>
    <t>産業公害(防止)対策費</t>
  </si>
  <si>
    <t>鉱山保安対策費</t>
  </si>
  <si>
    <t>電気ガス熱供給事業監督及保安対策費</t>
  </si>
  <si>
    <t>地熱発電開発調査費</t>
  </si>
  <si>
    <t>国際会議等諸(経)費</t>
  </si>
  <si>
    <t>住環境整備機器システム等開発経費</t>
  </si>
  <si>
    <t>無人宇宙実験システムの開発等経費</t>
  </si>
  <si>
    <t>都市環境等整備システム等の開発費</t>
  </si>
  <si>
    <t>高度技術集約型産業等研究開発費</t>
  </si>
  <si>
    <t>輸出保険（S６１年度より貿易)保険特別会計へ繰入</t>
  </si>
  <si>
    <t>通商産業本省施設整備費　経済産業省本省施設整備費</t>
  </si>
  <si>
    <t>商工鉱業統計調査費</t>
  </si>
  <si>
    <t>工業再配置促進対策費</t>
  </si>
  <si>
    <t>民間輸送機開発費</t>
  </si>
  <si>
    <t>情報処理振興対策費</t>
  </si>
  <si>
    <t>民間航空機用ジェットエンジン開発費</t>
  </si>
  <si>
    <t>航空機国際共同開発促進費</t>
  </si>
  <si>
    <t>繊維工業(産業)構造改善対策費</t>
  </si>
  <si>
    <t>地下資源対策費</t>
  </si>
  <si>
    <t>特許行政費（S59.7から特会へ)</t>
  </si>
  <si>
    <t>検査機関費</t>
  </si>
  <si>
    <t>消費生活改善費</t>
  </si>
  <si>
    <t>石炭対策費</t>
  </si>
  <si>
    <t>鉱害復旧事業費</t>
  </si>
  <si>
    <t>通商産業局施設費 経済産業局施設費</t>
  </si>
  <si>
    <t>※</t>
  </si>
  <si>
    <t>終戦・賠償処理費</t>
  </si>
  <si>
    <t>※</t>
  </si>
  <si>
    <t>物資（需給）調整費</t>
  </si>
  <si>
    <t>※</t>
  </si>
  <si>
    <t>企業対策費・商工業対策費・工業振興費</t>
  </si>
  <si>
    <t>一般会計合計</t>
  </si>
  <si>
    <t>石特への繰入を除く</t>
  </si>
  <si>
    <t>（石特への繰入：再掲）</t>
  </si>
  <si>
    <t>（参考）通産省年報による一般会計予算額（単位：百万円）</t>
  </si>
  <si>
    <t>【特別会計】</t>
  </si>
  <si>
    <t>アルコール専売事業特別会計（事業特別会計）</t>
  </si>
  <si>
    <t>歳出</t>
  </si>
  <si>
    <t>事業費</t>
  </si>
  <si>
    <t>国債整理基金特別会計へ繰入</t>
  </si>
  <si>
    <t>予備費</t>
  </si>
  <si>
    <t>輸出保険（S６１年度より貿易保険）特別会計（保険特別会計）</t>
  </si>
  <si>
    <t>保険金・保険及再保険費</t>
  </si>
  <si>
    <t>事務取扱費</t>
  </si>
  <si>
    <t>一般会計へ繰入</t>
  </si>
  <si>
    <t>不正保有物資等特別措置特別会計</t>
  </si>
  <si>
    <t>事務費</t>
  </si>
  <si>
    <t>業務費</t>
  </si>
  <si>
    <t>貿易資金特別会計（S24年度より貿易特別会計）</t>
  </si>
  <si>
    <t>貿易取引費</t>
  </si>
  <si>
    <t>貿易外取引費</t>
  </si>
  <si>
    <t>貿易公団関係経費</t>
  </si>
  <si>
    <t>他会計へ繰入</t>
  </si>
  <si>
    <t>貿易運営費</t>
  </si>
  <si>
    <t>食糧貿易公団清算費</t>
  </si>
  <si>
    <t>米国対日援助物資等処理特別会計</t>
  </si>
  <si>
    <t>援助物資輸入諸掛費</t>
  </si>
  <si>
    <t>米国対日援助見返資金特別会計へ繰入</t>
  </si>
  <si>
    <t>諸支出金</t>
  </si>
  <si>
    <t>中小企業信用保険特別会計</t>
  </si>
  <si>
    <t>支払保険金</t>
  </si>
  <si>
    <t>付表2-1.　経産省（通産省）予算統計（一般会計・特別会計）原表（1950～2008年度）</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</si>
</sst>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_);[Red]\(#,##0\)"/>
    <numFmt numFmtId="179" formatCode="0_);\(0\)"/>
    <numFmt numFmtId="180" formatCode="\(\3\)"/>
    <numFmt numFmtId="181" formatCode="0_ "/>
    <numFmt numFmtId="182" formatCode="0.0%"/>
    <numFmt numFmtId="183" formatCode="#,##0.000_ "/>
    <numFmt numFmtId="184" formatCode="0_);[Red]\(0\)"/>
    <numFmt numFmtId="185" formatCode="0.000_);[Red]\(0.000\)"/>
    <numFmt numFmtId="186" formatCode="#,##0.000_);[Red]\(#,##0.000\)"/>
    <numFmt numFmtId="187" formatCode="#,##0.0;[Red]\-#,##0.0"/>
    <numFmt numFmtId="188" formatCode="#,##0.000;[Red]\-#,##0.000"/>
    <numFmt numFmtId="189" formatCode="0.0_);[Red]\(0.0\)"/>
    <numFmt numFmtId="190" formatCode="0.00000_);[Red]\(0.00000\)"/>
    <numFmt numFmtId="191" formatCode="0.0_ "/>
    <numFmt numFmtId="192" formatCode="0.00_);[Red]\(0.00\)"/>
    <numFmt numFmtId="193" formatCode="&quot;Yes&quot;;&quot;Yes&quot;;&quot;No&quot;"/>
    <numFmt numFmtId="194" formatCode="&quot;True&quot;;&quot;True&quot;;&quot;False&quot;"/>
    <numFmt numFmtId="195" formatCode="&quot;On&quot;;&quot;On&quot;;&quot;Off&quot;"/>
    <numFmt numFmtId="196" formatCode="[$€-2]\ #,##0.00_);[Red]\([$€-2]\ #,##0.00\)"/>
    <numFmt numFmtId="197" formatCode="0.00_ "/>
    <numFmt numFmtId="198" formatCode="#,##0.0_ "/>
    <numFmt numFmtId="199" formatCode="0.000_ "/>
    <numFmt numFmtId="200" formatCode="\(yyyy\)"/>
    <numFmt numFmtId="201" formatCode="#,##0.0000_ "/>
    <numFmt numFmtId="202" formatCode="#,##0.0_);[Red]\(#,##0.0\)"/>
    <numFmt numFmtId="203" formatCode="#,##0.00000_);[Red]\(#,##0.00000\)"/>
    <numFmt numFmtId="204" formatCode="0.0000_ "/>
  </numFmts>
  <fonts count="48">
    <font>
      <sz val="11"/>
      <name val="ＭＳ Ｐゴシック"/>
      <family val="3"/>
    </font>
    <font>
      <sz val="6"/>
      <name val="ＭＳ Ｐゴシック"/>
      <family val="3"/>
    </font>
    <font>
      <sz val="12"/>
      <name val="ＭＳ Ｐゴシック"/>
      <family val="3"/>
    </font>
    <font>
      <sz val="11"/>
      <color indexed="10"/>
      <name val="ＭＳ Ｐゴシック"/>
      <family val="3"/>
    </font>
    <font>
      <i/>
      <sz val="11"/>
      <name val="ＭＳ Ｐゴシック"/>
      <family val="3"/>
    </font>
    <font>
      <i/>
      <sz val="11"/>
      <color indexed="8"/>
      <name val="ＭＳ Ｐゴシック"/>
      <family val="3"/>
    </font>
    <font>
      <sz val="11"/>
      <color indexed="8"/>
      <name val="ＭＳ Ｐゴシック"/>
      <family val="3"/>
    </font>
    <font>
      <b/>
      <sz val="11"/>
      <name val="ＭＳ Ｐゴシック"/>
      <family val="3"/>
    </font>
    <font>
      <sz val="11"/>
      <color indexed="12"/>
      <name val="ＭＳ Ｐゴシック"/>
      <family val="3"/>
    </font>
    <font>
      <sz val="9"/>
      <name val="ＭＳ Ｐゴシック"/>
      <family val="3"/>
    </font>
    <font>
      <b/>
      <sz val="14"/>
      <name val="ＭＳ Ｐゴシック"/>
      <family val="3"/>
    </font>
    <font>
      <b/>
      <sz val="9"/>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19"/>
        <bgColor indexed="64"/>
      </patternFill>
    </fill>
    <fill>
      <patternFill patternType="solid">
        <fgColor indexed="10"/>
        <bgColor indexed="64"/>
      </patternFill>
    </fill>
    <fill>
      <patternFill patternType="solid">
        <fgColor indexed="14"/>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4" fillId="0" borderId="0" applyNumberFormat="0" applyFill="0" applyBorder="0" applyAlignment="0" applyProtection="0"/>
    <xf numFmtId="0" fontId="46" fillId="32" borderId="0" applyNumberFormat="0" applyBorder="0" applyAlignment="0" applyProtection="0"/>
  </cellStyleXfs>
  <cellXfs count="122">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176" fontId="0" fillId="0" borderId="10" xfId="0" applyNumberFormat="1" applyFill="1" applyBorder="1" applyAlignment="1">
      <alignment vertical="center"/>
    </xf>
    <xf numFmtId="176" fontId="0" fillId="0" borderId="11" xfId="0" applyNumberFormat="1" applyFill="1" applyBorder="1" applyAlignment="1">
      <alignment vertical="center"/>
    </xf>
    <xf numFmtId="0" fontId="0" fillId="34" borderId="10" xfId="0" applyFill="1" applyBorder="1" applyAlignment="1">
      <alignment vertical="center"/>
    </xf>
    <xf numFmtId="176" fontId="4" fillId="34" borderId="10" xfId="0" applyNumberFormat="1" applyFont="1" applyFill="1" applyBorder="1" applyAlignment="1">
      <alignment vertical="center"/>
    </xf>
    <xf numFmtId="176" fontId="4" fillId="34" borderId="11" xfId="0" applyNumberFormat="1" applyFont="1" applyFill="1" applyBorder="1" applyAlignment="1">
      <alignment vertical="center"/>
    </xf>
    <xf numFmtId="176" fontId="0" fillId="0" borderId="0" xfId="0" applyNumberFormat="1" applyFill="1" applyBorder="1" applyAlignment="1">
      <alignment vertical="center"/>
    </xf>
    <xf numFmtId="177" fontId="0" fillId="0" borderId="10" xfId="0" applyNumberFormat="1" applyFill="1" applyBorder="1" applyAlignment="1">
      <alignment vertical="center"/>
    </xf>
    <xf numFmtId="176" fontId="0" fillId="35" borderId="10" xfId="0" applyNumberFormat="1" applyFill="1" applyBorder="1" applyAlignment="1">
      <alignment vertical="center"/>
    </xf>
    <xf numFmtId="176" fontId="0" fillId="0" borderId="10" xfId="0" applyNumberFormat="1" applyFont="1" applyFill="1" applyBorder="1" applyAlignment="1">
      <alignment vertical="center"/>
    </xf>
    <xf numFmtId="177" fontId="0" fillId="0" borderId="10" xfId="0" applyNumberFormat="1" applyFill="1" applyBorder="1" applyAlignment="1" quotePrefix="1">
      <alignment vertical="center"/>
    </xf>
    <xf numFmtId="176" fontId="0" fillId="0" borderId="11" xfId="0" applyNumberFormat="1" applyFont="1" applyFill="1" applyBorder="1" applyAlignment="1">
      <alignment vertical="center"/>
    </xf>
    <xf numFmtId="177" fontId="0" fillId="0" borderId="11" xfId="0" applyNumberFormat="1" applyFill="1" applyBorder="1" applyAlignment="1">
      <alignment vertical="center"/>
    </xf>
    <xf numFmtId="177" fontId="0" fillId="0" borderId="12" xfId="0" applyNumberFormat="1" applyFill="1" applyBorder="1" applyAlignment="1">
      <alignment vertical="center"/>
    </xf>
    <xf numFmtId="176" fontId="0" fillId="36" borderId="10" xfId="0" applyNumberFormat="1" applyFill="1" applyBorder="1" applyAlignment="1">
      <alignment vertical="center"/>
    </xf>
    <xf numFmtId="176" fontId="0" fillId="36" borderId="11" xfId="0" applyNumberFormat="1" applyFill="1" applyBorder="1" applyAlignment="1">
      <alignment vertical="center"/>
    </xf>
    <xf numFmtId="176" fontId="4" fillId="0" borderId="10" xfId="0" applyNumberFormat="1" applyFont="1" applyFill="1" applyBorder="1" applyAlignment="1">
      <alignment vertical="center"/>
    </xf>
    <xf numFmtId="176" fontId="5" fillId="33" borderId="10" xfId="0" applyNumberFormat="1" applyFont="1" applyFill="1" applyBorder="1" applyAlignment="1">
      <alignment vertical="center"/>
    </xf>
    <xf numFmtId="176" fontId="5" fillId="33" borderId="11" xfId="0" applyNumberFormat="1" applyFont="1" applyFill="1" applyBorder="1" applyAlignment="1">
      <alignment vertical="center"/>
    </xf>
    <xf numFmtId="176" fontId="6" fillId="0" borderId="10" xfId="0" applyNumberFormat="1" applyFont="1" applyFill="1" applyBorder="1" applyAlignment="1">
      <alignment vertical="center"/>
    </xf>
    <xf numFmtId="176" fontId="6" fillId="0" borderId="11" xfId="0" applyNumberFormat="1" applyFont="1" applyFill="1" applyBorder="1" applyAlignment="1">
      <alignment vertical="center"/>
    </xf>
    <xf numFmtId="0" fontId="0" fillId="0" borderId="10" xfId="0" applyFont="1" applyFill="1" applyBorder="1" applyAlignment="1">
      <alignment vertical="center"/>
    </xf>
    <xf numFmtId="176" fontId="3" fillId="0" borderId="0" xfId="0" applyNumberFormat="1" applyFont="1" applyFill="1" applyBorder="1" applyAlignment="1">
      <alignment vertical="center"/>
    </xf>
    <xf numFmtId="176" fontId="4" fillId="33" borderId="10" xfId="0" applyNumberFormat="1" applyFont="1" applyFill="1" applyBorder="1" applyAlignment="1">
      <alignment vertical="center"/>
    </xf>
    <xf numFmtId="176" fontId="4" fillId="33" borderId="11" xfId="0" applyNumberFormat="1" applyFont="1" applyFill="1" applyBorder="1" applyAlignment="1">
      <alignment vertical="center"/>
    </xf>
    <xf numFmtId="176" fontId="4" fillId="35" borderId="10" xfId="0" applyNumberFormat="1" applyFont="1" applyFill="1" applyBorder="1" applyAlignment="1">
      <alignment vertical="center"/>
    </xf>
    <xf numFmtId="0" fontId="0" fillId="0" borderId="11" xfId="0" applyFill="1" applyBorder="1" applyAlignment="1">
      <alignment vertical="center"/>
    </xf>
    <xf numFmtId="0" fontId="0" fillId="0" borderId="11" xfId="0" applyFont="1" applyFill="1" applyBorder="1" applyAlignment="1">
      <alignment horizontal="left" vertical="center"/>
    </xf>
    <xf numFmtId="0" fontId="0" fillId="0" borderId="13"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 xfId="0" applyFill="1" applyBorder="1" applyAlignment="1">
      <alignment horizontal="left" vertical="center"/>
    </xf>
    <xf numFmtId="0" fontId="0" fillId="0" borderId="13" xfId="0" applyFill="1" applyBorder="1" applyAlignment="1">
      <alignment horizontal="left" vertical="center"/>
    </xf>
    <xf numFmtId="0" fontId="0" fillId="0" borderId="12" xfId="0" applyFill="1" applyBorder="1" applyAlignment="1">
      <alignment horizontal="left" vertical="center"/>
    </xf>
    <xf numFmtId="176" fontId="7" fillId="0" borderId="10" xfId="0" applyNumberFormat="1" applyFont="1" applyFill="1" applyBorder="1" applyAlignment="1">
      <alignment vertical="center"/>
    </xf>
    <xf numFmtId="0" fontId="0" fillId="37" borderId="10" xfId="0" applyFill="1" applyBorder="1" applyAlignment="1">
      <alignment vertical="center"/>
    </xf>
    <xf numFmtId="178" fontId="0" fillId="0" borderId="10" xfId="0" applyNumberFormat="1" applyFill="1" applyBorder="1" applyAlignment="1">
      <alignment vertical="center"/>
    </xf>
    <xf numFmtId="178" fontId="0" fillId="0" borderId="10" xfId="0" applyNumberFormat="1" applyFont="1" applyFill="1" applyBorder="1" applyAlignment="1">
      <alignment vertical="center"/>
    </xf>
    <xf numFmtId="178" fontId="0" fillId="0" borderId="11" xfId="0" applyNumberFormat="1" applyFill="1" applyBorder="1" applyAlignment="1">
      <alignment vertical="center"/>
    </xf>
    <xf numFmtId="176" fontId="0" fillId="0" borderId="10" xfId="0" applyNumberFormat="1" applyFill="1" applyBorder="1" applyAlignment="1">
      <alignment horizontal="right" vertical="center" wrapText="1"/>
    </xf>
    <xf numFmtId="0" fontId="0" fillId="38" borderId="10" xfId="0" applyFill="1" applyBorder="1" applyAlignment="1">
      <alignment vertical="center"/>
    </xf>
    <xf numFmtId="176" fontId="4" fillId="38" borderId="10" xfId="0" applyNumberFormat="1" applyFont="1" applyFill="1" applyBorder="1" applyAlignment="1">
      <alignment vertical="center"/>
    </xf>
    <xf numFmtId="176" fontId="4" fillId="38" borderId="11" xfId="0" applyNumberFormat="1" applyFont="1" applyFill="1" applyBorder="1" applyAlignment="1">
      <alignment vertical="center"/>
    </xf>
    <xf numFmtId="0" fontId="0" fillId="34" borderId="10" xfId="0" applyFill="1" applyBorder="1" applyAlignment="1" quotePrefix="1">
      <alignment horizontal="right" vertical="center"/>
    </xf>
    <xf numFmtId="176" fontId="0" fillId="0" borderId="12" xfId="0" applyNumberFormat="1" applyFill="1" applyBorder="1" applyAlignment="1">
      <alignment vertical="center"/>
    </xf>
    <xf numFmtId="176" fontId="0" fillId="0" borderId="13" xfId="0" applyNumberFormat="1" applyFill="1" applyBorder="1" applyAlignment="1">
      <alignment vertical="center"/>
    </xf>
    <xf numFmtId="176" fontId="0" fillId="35" borderId="12" xfId="0" applyNumberFormat="1" applyFill="1" applyBorder="1" applyAlignment="1">
      <alignment vertical="center"/>
    </xf>
    <xf numFmtId="38" fontId="0" fillId="0" borderId="10" xfId="49" applyFont="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0" fillId="0" borderId="11" xfId="0" applyFont="1" applyFill="1" applyBorder="1" applyAlignment="1">
      <alignment vertical="center"/>
    </xf>
    <xf numFmtId="0" fontId="0" fillId="35" borderId="10" xfId="0" applyFill="1" applyBorder="1" applyAlignment="1">
      <alignment vertical="center"/>
    </xf>
    <xf numFmtId="0" fontId="0" fillId="0" borderId="0" xfId="0" applyFont="1" applyFill="1" applyBorder="1" applyAlignment="1">
      <alignment vertical="center"/>
    </xf>
    <xf numFmtId="0" fontId="2" fillId="0" borderId="10" xfId="0" applyFont="1" applyFill="1" applyBorder="1" applyAlignment="1">
      <alignment vertical="center"/>
    </xf>
    <xf numFmtId="0" fontId="0" fillId="0" borderId="14" xfId="0" applyFill="1" applyBorder="1" applyAlignment="1">
      <alignment vertical="center"/>
    </xf>
    <xf numFmtId="0" fontId="0" fillId="37" borderId="11" xfId="0" applyFill="1" applyBorder="1" applyAlignment="1">
      <alignment vertical="center"/>
    </xf>
    <xf numFmtId="0" fontId="0" fillId="39" borderId="10" xfId="0" applyFill="1" applyBorder="1" applyAlignment="1" quotePrefix="1">
      <alignment horizontal="right" vertical="center"/>
    </xf>
    <xf numFmtId="49" fontId="0" fillId="34" borderId="10" xfId="0" applyNumberFormat="1" applyFill="1" applyBorder="1" applyAlignment="1">
      <alignment horizontal="right" vertical="center"/>
    </xf>
    <xf numFmtId="176" fontId="0" fillId="0" borderId="10" xfId="0" applyNumberFormat="1" applyBorder="1" applyAlignment="1">
      <alignment vertical="center"/>
    </xf>
    <xf numFmtId="0" fontId="0" fillId="40" borderId="10" xfId="0" applyFill="1" applyBorder="1" applyAlignment="1">
      <alignment vertical="center"/>
    </xf>
    <xf numFmtId="176" fontId="4" fillId="40" borderId="10" xfId="0" applyNumberFormat="1" applyFont="1" applyFill="1" applyBorder="1" applyAlignment="1">
      <alignment vertical="center"/>
    </xf>
    <xf numFmtId="176" fontId="4" fillId="40" borderId="11" xfId="0" applyNumberFormat="1" applyFont="1" applyFill="1" applyBorder="1" applyAlignment="1">
      <alignment vertical="center"/>
    </xf>
    <xf numFmtId="176" fontId="0" fillId="0" borderId="14" xfId="0" applyNumberFormat="1" applyFill="1" applyBorder="1" applyAlignment="1">
      <alignment vertical="center"/>
    </xf>
    <xf numFmtId="176" fontId="0" fillId="0" borderId="0" xfId="0" applyNumberFormat="1" applyFont="1" applyFill="1" applyBorder="1" applyAlignment="1">
      <alignment vertical="center"/>
    </xf>
    <xf numFmtId="176" fontId="0" fillId="0" borderId="0" xfId="0" applyNumberFormat="1" applyFill="1" applyBorder="1" applyAlignment="1">
      <alignment horizontal="right" vertical="center"/>
    </xf>
    <xf numFmtId="0" fontId="0" fillId="0" borderId="15" xfId="0" applyFill="1" applyBorder="1" applyAlignment="1">
      <alignment vertical="center"/>
    </xf>
    <xf numFmtId="176" fontId="0" fillId="0" borderId="15" xfId="0" applyNumberFormat="1" applyFill="1" applyBorder="1" applyAlignment="1">
      <alignment vertical="center"/>
    </xf>
    <xf numFmtId="176" fontId="0" fillId="0" borderId="15" xfId="0" applyNumberFormat="1" applyBorder="1" applyAlignment="1">
      <alignment vertical="center"/>
    </xf>
    <xf numFmtId="176" fontId="0" fillId="0" borderId="0" xfId="0" applyNumberFormat="1" applyBorder="1" applyAlignment="1">
      <alignment vertical="center"/>
    </xf>
    <xf numFmtId="0" fontId="2" fillId="0" borderId="16" xfId="0" applyFont="1" applyFill="1" applyBorder="1" applyAlignment="1">
      <alignment vertical="center"/>
    </xf>
    <xf numFmtId="0" fontId="0" fillId="0" borderId="16" xfId="0" applyFill="1" applyBorder="1" applyAlignment="1">
      <alignment vertical="center"/>
    </xf>
    <xf numFmtId="0" fontId="0" fillId="39" borderId="16" xfId="0" applyFill="1" applyBorder="1" applyAlignment="1">
      <alignment vertical="center"/>
    </xf>
    <xf numFmtId="0" fontId="2" fillId="0" borderId="17" xfId="0" applyFont="1" applyFill="1" applyBorder="1" applyAlignment="1">
      <alignment vertical="center"/>
    </xf>
    <xf numFmtId="0" fontId="0" fillId="0" borderId="17" xfId="0" applyFill="1" applyBorder="1" applyAlignment="1">
      <alignment vertical="center"/>
    </xf>
    <xf numFmtId="176" fontId="0" fillId="0" borderId="17" xfId="0" applyNumberFormat="1" applyFill="1" applyBorder="1" applyAlignment="1">
      <alignment vertical="center"/>
    </xf>
    <xf numFmtId="176" fontId="0" fillId="0" borderId="17" xfId="0" applyNumberFormat="1" applyBorder="1" applyAlignment="1">
      <alignment vertical="center"/>
    </xf>
    <xf numFmtId="0" fontId="7" fillId="41" borderId="10" xfId="0" applyFont="1" applyFill="1" applyBorder="1" applyAlignment="1">
      <alignment vertical="center"/>
    </xf>
    <xf numFmtId="0" fontId="0" fillId="41" borderId="10" xfId="0" applyFill="1" applyBorder="1" applyAlignment="1">
      <alignment vertical="center"/>
    </xf>
    <xf numFmtId="0" fontId="0" fillId="0" borderId="10" xfId="0" applyBorder="1" applyAlignment="1">
      <alignment vertical="center"/>
    </xf>
    <xf numFmtId="176" fontId="0" fillId="0" borderId="11" xfId="0" applyNumberFormat="1" applyBorder="1" applyAlignment="1">
      <alignment vertical="center"/>
    </xf>
    <xf numFmtId="0" fontId="0" fillId="42" borderId="10" xfId="0" applyFill="1" applyBorder="1" applyAlignment="1">
      <alignment vertical="center"/>
    </xf>
    <xf numFmtId="176" fontId="7" fillId="42" borderId="10" xfId="0" applyNumberFormat="1" applyFont="1" applyFill="1" applyBorder="1" applyAlignment="1">
      <alignment vertical="center"/>
    </xf>
    <xf numFmtId="0" fontId="0" fillId="33" borderId="10" xfId="0" applyFont="1" applyFill="1" applyBorder="1" applyAlignment="1">
      <alignment vertical="center"/>
    </xf>
    <xf numFmtId="176" fontId="0" fillId="0" borderId="12" xfId="0" applyNumberFormat="1" applyBorder="1" applyAlignment="1">
      <alignment vertical="center"/>
    </xf>
    <xf numFmtId="0" fontId="0" fillId="43" borderId="10" xfId="0" applyFont="1" applyFill="1" applyBorder="1" applyAlignment="1">
      <alignment vertical="center"/>
    </xf>
    <xf numFmtId="0" fontId="7" fillId="42" borderId="10" xfId="0" applyFont="1" applyFill="1" applyBorder="1" applyAlignment="1">
      <alignment vertical="center"/>
    </xf>
    <xf numFmtId="0" fontId="0" fillId="43" borderId="10" xfId="0" applyFill="1" applyBorder="1" applyAlignment="1">
      <alignment vertical="center"/>
    </xf>
    <xf numFmtId="176" fontId="7" fillId="43" borderId="10" xfId="0" applyNumberFormat="1" applyFont="1" applyFill="1" applyBorder="1" applyAlignment="1">
      <alignment vertical="center"/>
    </xf>
    <xf numFmtId="176" fontId="4" fillId="33" borderId="12" xfId="0" applyNumberFormat="1" applyFont="1" applyFill="1" applyBorder="1" applyAlignment="1">
      <alignment vertical="center"/>
    </xf>
    <xf numFmtId="176" fontId="7" fillId="43" borderId="11" xfId="0" applyNumberFormat="1" applyFont="1" applyFill="1" applyBorder="1" applyAlignment="1">
      <alignment vertical="center"/>
    </xf>
    <xf numFmtId="176" fontId="7" fillId="43" borderId="12" xfId="0" applyNumberFormat="1" applyFont="1" applyFill="1" applyBorder="1" applyAlignment="1">
      <alignment vertical="center"/>
    </xf>
    <xf numFmtId="176" fontId="5" fillId="34" borderId="10"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11" xfId="0" applyNumberFormat="1" applyFont="1" applyFill="1" applyBorder="1" applyAlignment="1">
      <alignment vertical="center"/>
    </xf>
    <xf numFmtId="176" fontId="3" fillId="0" borderId="10" xfId="0" applyNumberFormat="1" applyFont="1" applyFill="1" applyBorder="1" applyAlignment="1">
      <alignment vertical="center"/>
    </xf>
    <xf numFmtId="176" fontId="0" fillId="0" borderId="0" xfId="0" applyNumberFormat="1" applyFill="1" applyAlignment="1">
      <alignment vertical="center"/>
    </xf>
    <xf numFmtId="176" fontId="5" fillId="0" borderId="10"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0" xfId="0" applyNumberFormat="1" applyFont="1" applyBorder="1" applyAlignment="1">
      <alignment vertical="center"/>
    </xf>
    <xf numFmtId="176" fontId="5" fillId="35" borderId="10" xfId="0" applyNumberFormat="1" applyFont="1" applyFill="1" applyBorder="1" applyAlignment="1">
      <alignment vertical="center"/>
    </xf>
    <xf numFmtId="3" fontId="0" fillId="0" borderId="0" xfId="0" applyNumberFormat="1" applyFill="1" applyAlignment="1">
      <alignment vertical="center"/>
    </xf>
    <xf numFmtId="0" fontId="9" fillId="0" borderId="0" xfId="0" applyFont="1" applyFill="1" applyAlignment="1">
      <alignment vertical="center"/>
    </xf>
    <xf numFmtId="0" fontId="0" fillId="39" borderId="10" xfId="0" applyFill="1" applyBorder="1" applyAlignment="1">
      <alignment vertical="center"/>
    </xf>
    <xf numFmtId="0" fontId="0" fillId="0" borderId="12" xfId="0" applyFill="1" applyBorder="1" applyAlignment="1">
      <alignment vertical="center"/>
    </xf>
    <xf numFmtId="0" fontId="0" fillId="33" borderId="18" xfId="0" applyFill="1" applyBorder="1" applyAlignment="1">
      <alignment vertical="center"/>
    </xf>
    <xf numFmtId="0" fontId="0" fillId="0" borderId="18" xfId="0" applyFill="1" applyBorder="1" applyAlignment="1">
      <alignment vertical="center"/>
    </xf>
    <xf numFmtId="0" fontId="2" fillId="0" borderId="11" xfId="0" applyFont="1" applyFill="1" applyBorder="1" applyAlignment="1">
      <alignment vertical="center"/>
    </xf>
    <xf numFmtId="0" fontId="0" fillId="0" borderId="13" xfId="0" applyFill="1" applyBorder="1" applyAlignment="1">
      <alignment vertical="center"/>
    </xf>
    <xf numFmtId="0" fontId="7" fillId="0" borderId="0" xfId="0" applyFont="1" applyFill="1" applyAlignment="1">
      <alignment vertical="center"/>
    </xf>
    <xf numFmtId="0" fontId="0" fillId="0" borderId="11" xfId="0" applyFill="1" applyBorder="1" applyAlignment="1">
      <alignment horizontal="left" vertical="center"/>
    </xf>
    <xf numFmtId="0" fontId="0" fillId="0" borderId="13" xfId="0" applyFill="1" applyBorder="1" applyAlignment="1">
      <alignment horizontal="left" vertical="center"/>
    </xf>
    <xf numFmtId="0" fontId="0" fillId="0" borderId="12" xfId="0" applyFill="1" applyBorder="1" applyAlignment="1">
      <alignment horizontal="left" vertical="center"/>
    </xf>
    <xf numFmtId="176" fontId="0" fillId="0" borderId="19" xfId="0" applyNumberFormat="1" applyFill="1" applyBorder="1" applyAlignment="1">
      <alignment horizontal="right" vertical="center"/>
    </xf>
    <xf numFmtId="176" fontId="0" fillId="0" borderId="18" xfId="0" applyNumberFormat="1" applyFill="1" applyBorder="1" applyAlignment="1">
      <alignment horizontal="right" vertical="center"/>
    </xf>
    <xf numFmtId="177" fontId="0" fillId="0" borderId="11" xfId="0" applyNumberFormat="1" applyFill="1" applyBorder="1" applyAlignment="1">
      <alignment horizontal="left" vertical="center"/>
    </xf>
    <xf numFmtId="177" fontId="0" fillId="0" borderId="13" xfId="0" applyNumberFormat="1" applyFill="1" applyBorder="1" applyAlignment="1">
      <alignment horizontal="left" vertical="center"/>
    </xf>
    <xf numFmtId="177" fontId="0" fillId="0" borderId="12" xfId="0" applyNumberForma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U418"/>
  <sheetViews>
    <sheetView tabSelected="1" zoomScalePageLayoutView="0" workbookViewId="0" topLeftCell="A1">
      <selection activeCell="A415" sqref="A415"/>
    </sheetView>
  </sheetViews>
  <sheetFormatPr defaultColWidth="9.00390625" defaultRowHeight="13.5"/>
  <cols>
    <col min="1" max="5" width="3.875" style="1" customWidth="1"/>
    <col min="6" max="6" width="31.25390625" style="1" customWidth="1"/>
    <col min="7" max="39" width="13.625" style="1" customWidth="1"/>
    <col min="40" max="40" width="13.50390625" style="1" customWidth="1"/>
    <col min="41" max="46" width="13.625" style="1" customWidth="1"/>
    <col min="47" max="47" width="13.375" style="1" customWidth="1"/>
    <col min="48" max="56" width="13.625" style="1" customWidth="1"/>
    <col min="57" max="57" width="14.125" style="1" bestFit="1" customWidth="1"/>
    <col min="58" max="65" width="13.625" style="1" customWidth="1"/>
    <col min="66" max="66" width="12.125" style="1" bestFit="1" customWidth="1"/>
    <col min="67" max="67" width="12.625" style="1" bestFit="1" customWidth="1"/>
    <col min="68" max="68" width="11.875" style="1" customWidth="1"/>
    <col min="69" max="72" width="9.00390625" style="1" customWidth="1"/>
    <col min="73" max="73" width="12.375" style="1" customWidth="1"/>
    <col min="74" max="16384" width="9.00390625" style="1" customWidth="1"/>
  </cols>
  <sheetData>
    <row r="1" ht="13.5"/>
    <row r="2" spans="2:9" ht="13.5">
      <c r="B2" s="113" t="s">
        <v>356</v>
      </c>
      <c r="I2" s="1" t="s">
        <v>136</v>
      </c>
    </row>
    <row r="3" ht="13.5"/>
    <row r="4" spans="1:35" ht="21" customHeight="1">
      <c r="A4" s="2" t="s">
        <v>137</v>
      </c>
      <c r="D4" s="1" t="s">
        <v>138</v>
      </c>
      <c r="AI4" s="3"/>
    </row>
    <row r="5" spans="1:65" ht="21" customHeight="1">
      <c r="A5" s="111" t="s">
        <v>139</v>
      </c>
      <c r="B5" s="112"/>
      <c r="C5" s="112"/>
      <c r="D5" s="112"/>
      <c r="E5" s="108"/>
      <c r="F5" s="108"/>
      <c r="G5" s="5" t="s">
        <v>140</v>
      </c>
      <c r="H5" s="5" t="s">
        <v>141</v>
      </c>
      <c r="I5" s="5" t="s">
        <v>142</v>
      </c>
      <c r="J5" s="5" t="s">
        <v>143</v>
      </c>
      <c r="K5" s="5" t="s">
        <v>144</v>
      </c>
      <c r="L5" s="5" t="s">
        <v>145</v>
      </c>
      <c r="M5" s="5" t="s">
        <v>146</v>
      </c>
      <c r="N5" s="5" t="s">
        <v>147</v>
      </c>
      <c r="O5" s="5" t="s">
        <v>148</v>
      </c>
      <c r="P5" s="5" t="s">
        <v>149</v>
      </c>
      <c r="Q5" s="5" t="s">
        <v>150</v>
      </c>
      <c r="R5" s="5" t="s">
        <v>151</v>
      </c>
      <c r="S5" s="5" t="s">
        <v>152</v>
      </c>
      <c r="T5" s="5" t="s">
        <v>153</v>
      </c>
      <c r="U5" s="5" t="s">
        <v>154</v>
      </c>
      <c r="V5" s="5" t="s">
        <v>155</v>
      </c>
      <c r="W5" s="5" t="s">
        <v>156</v>
      </c>
      <c r="X5" s="5" t="s">
        <v>157</v>
      </c>
      <c r="Y5" s="5" t="s">
        <v>158</v>
      </c>
      <c r="Z5" s="5" t="s">
        <v>159</v>
      </c>
      <c r="AA5" s="5" t="s">
        <v>160</v>
      </c>
      <c r="AB5" s="5" t="s">
        <v>161</v>
      </c>
      <c r="AC5" s="5" t="s">
        <v>162</v>
      </c>
      <c r="AD5" s="107" t="s">
        <v>163</v>
      </c>
      <c r="AE5" s="5" t="s">
        <v>164</v>
      </c>
      <c r="AF5" s="5" t="s">
        <v>165</v>
      </c>
      <c r="AG5" s="5" t="s">
        <v>166</v>
      </c>
      <c r="AH5" s="5" t="s">
        <v>167</v>
      </c>
      <c r="AI5" s="5" t="s">
        <v>168</v>
      </c>
      <c r="AJ5" s="5" t="s">
        <v>169</v>
      </c>
      <c r="AK5" s="5" t="s">
        <v>170</v>
      </c>
      <c r="AL5" s="5" t="s">
        <v>171</v>
      </c>
      <c r="AM5" s="5" t="s">
        <v>172</v>
      </c>
      <c r="AN5" s="5" t="s">
        <v>173</v>
      </c>
      <c r="AO5" s="5" t="s">
        <v>174</v>
      </c>
      <c r="AP5" s="5" t="s">
        <v>175</v>
      </c>
      <c r="AQ5" s="5" t="s">
        <v>176</v>
      </c>
      <c r="AR5" s="5" t="s">
        <v>177</v>
      </c>
      <c r="AS5" s="5" t="s">
        <v>178</v>
      </c>
      <c r="AT5" s="5" t="s">
        <v>179</v>
      </c>
      <c r="AU5" s="5" t="s">
        <v>180</v>
      </c>
      <c r="AV5" s="5" t="s">
        <v>181</v>
      </c>
      <c r="AW5" s="5" t="s">
        <v>182</v>
      </c>
      <c r="AX5" s="5" t="s">
        <v>183</v>
      </c>
      <c r="AY5" s="5" t="s">
        <v>184</v>
      </c>
      <c r="AZ5" s="5" t="s">
        <v>185</v>
      </c>
      <c r="BA5" s="5" t="s">
        <v>186</v>
      </c>
      <c r="BB5" s="5" t="s">
        <v>187</v>
      </c>
      <c r="BC5" s="5" t="s">
        <v>188</v>
      </c>
      <c r="BD5" s="5" t="s">
        <v>189</v>
      </c>
      <c r="BE5" s="5" t="s">
        <v>190</v>
      </c>
      <c r="BF5" s="5" t="s">
        <v>191</v>
      </c>
      <c r="BG5" s="5" t="s">
        <v>192</v>
      </c>
      <c r="BH5" s="5" t="s">
        <v>193</v>
      </c>
      <c r="BI5" s="5" t="s">
        <v>194</v>
      </c>
      <c r="BJ5" s="5" t="s">
        <v>195</v>
      </c>
      <c r="BK5" s="5" t="s">
        <v>196</v>
      </c>
      <c r="BL5" s="5" t="s">
        <v>197</v>
      </c>
      <c r="BM5" s="5" t="s">
        <v>198</v>
      </c>
    </row>
    <row r="6" spans="1:65" ht="21" customHeight="1">
      <c r="A6" s="109" t="s">
        <v>199</v>
      </c>
      <c r="B6" s="110"/>
      <c r="C6" s="110"/>
      <c r="D6" s="110"/>
      <c r="E6" s="110"/>
      <c r="F6" s="5"/>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5"/>
      <c r="AN6" s="5"/>
      <c r="AO6" s="5"/>
      <c r="AP6" s="5"/>
      <c r="AQ6" s="5"/>
      <c r="AR6" s="5"/>
      <c r="AS6" s="6"/>
      <c r="AT6" s="6"/>
      <c r="AU6" s="6"/>
      <c r="AV6" s="6"/>
      <c r="AW6" s="6"/>
      <c r="AX6" s="6"/>
      <c r="AY6" s="6"/>
      <c r="AZ6" s="6"/>
      <c r="BA6" s="6"/>
      <c r="BB6" s="6"/>
      <c r="BC6" s="7"/>
      <c r="BD6" s="6"/>
      <c r="BE6" s="6">
        <v>95654375</v>
      </c>
      <c r="BF6" s="6"/>
      <c r="BG6" s="6"/>
      <c r="BH6" s="6"/>
      <c r="BI6" s="6"/>
      <c r="BJ6" s="6"/>
      <c r="BK6" s="6"/>
      <c r="BL6" s="6"/>
      <c r="BM6" s="6"/>
    </row>
    <row r="7" spans="1:66" ht="21" customHeight="1">
      <c r="A7" s="5"/>
      <c r="B7" s="8" t="s">
        <v>200</v>
      </c>
      <c r="C7" s="5"/>
      <c r="D7" s="5"/>
      <c r="E7" s="5"/>
      <c r="F7" s="5"/>
      <c r="G7" s="9">
        <v>1183076</v>
      </c>
      <c r="H7" s="9">
        <v>1819673</v>
      </c>
      <c r="I7" s="9">
        <v>1960655</v>
      </c>
      <c r="J7" s="9">
        <v>2351242</v>
      </c>
      <c r="K7" s="9">
        <v>2601089</v>
      </c>
      <c r="L7" s="9">
        <v>2679998</v>
      </c>
      <c r="M7" s="9">
        <v>3053478</v>
      </c>
      <c r="N7" s="9">
        <v>3079141</v>
      </c>
      <c r="O7" s="9">
        <v>3459499</v>
      </c>
      <c r="P7" s="9">
        <f aca="true" t="shared" si="0" ref="P7:BD7">SUM(P8:P16)</f>
        <v>3728229</v>
      </c>
      <c r="Q7" s="9">
        <f t="shared" si="0"/>
        <v>4089734</v>
      </c>
      <c r="R7" s="9">
        <f t="shared" si="0"/>
        <v>5029574</v>
      </c>
      <c r="S7" s="9">
        <f t="shared" si="0"/>
        <v>5708674</v>
      </c>
      <c r="T7" s="9">
        <f t="shared" si="0"/>
        <v>6472401</v>
      </c>
      <c r="U7" s="9">
        <f t="shared" si="0"/>
        <v>7492819</v>
      </c>
      <c r="V7" s="9">
        <f t="shared" si="0"/>
        <v>8128366</v>
      </c>
      <c r="W7" s="9">
        <f t="shared" si="0"/>
        <v>10725226</v>
      </c>
      <c r="X7" s="9">
        <f t="shared" si="0"/>
        <v>12050142</v>
      </c>
      <c r="Y7" s="9">
        <f t="shared" si="0"/>
        <v>14321021</v>
      </c>
      <c r="Z7" s="9">
        <f t="shared" si="0"/>
        <v>16305662</v>
      </c>
      <c r="AA7" s="9">
        <f t="shared" si="0"/>
        <v>18209616</v>
      </c>
      <c r="AB7" s="9">
        <f t="shared" si="0"/>
        <v>20839272</v>
      </c>
      <c r="AC7" s="9">
        <f t="shared" si="0"/>
        <v>28402468</v>
      </c>
      <c r="AD7" s="9">
        <f t="shared" si="0"/>
        <v>40028597</v>
      </c>
      <c r="AE7" s="9">
        <f t="shared" si="0"/>
        <v>54719703</v>
      </c>
      <c r="AF7" s="9">
        <f t="shared" si="0"/>
        <v>58735025</v>
      </c>
      <c r="AG7" s="9">
        <f t="shared" si="0"/>
        <v>63021369</v>
      </c>
      <c r="AH7" s="9">
        <f t="shared" si="0"/>
        <v>59044422</v>
      </c>
      <c r="AI7" s="9">
        <f t="shared" si="0"/>
        <v>55950287</v>
      </c>
      <c r="AJ7" s="9">
        <f t="shared" si="0"/>
        <v>71349474</v>
      </c>
      <c r="AK7" s="9">
        <f t="shared" si="0"/>
        <v>61133714</v>
      </c>
      <c r="AL7" s="9">
        <f t="shared" si="0"/>
        <v>63048972</v>
      </c>
      <c r="AM7" s="9">
        <f t="shared" si="0"/>
        <v>63473613</v>
      </c>
      <c r="AN7" s="9">
        <f t="shared" si="0"/>
        <v>62055745</v>
      </c>
      <c r="AO7" s="9">
        <f t="shared" si="0"/>
        <v>59680410</v>
      </c>
      <c r="AP7" s="9">
        <f t="shared" si="0"/>
        <v>59069266</v>
      </c>
      <c r="AQ7" s="9">
        <f t="shared" si="0"/>
        <v>56427108</v>
      </c>
      <c r="AR7" s="9">
        <f t="shared" si="0"/>
        <v>54526585</v>
      </c>
      <c r="AS7" s="9">
        <f t="shared" si="0"/>
        <v>54651896</v>
      </c>
      <c r="AT7" s="9">
        <f t="shared" si="0"/>
        <v>55798578</v>
      </c>
      <c r="AU7" s="9">
        <f t="shared" si="0"/>
        <v>55580046</v>
      </c>
      <c r="AV7" s="9">
        <f t="shared" si="0"/>
        <v>56464632</v>
      </c>
      <c r="AW7" s="9">
        <f t="shared" si="0"/>
        <v>56205246</v>
      </c>
      <c r="AX7" s="9">
        <f t="shared" si="0"/>
        <v>58887150</v>
      </c>
      <c r="AY7" s="9">
        <f t="shared" si="0"/>
        <v>60013374</v>
      </c>
      <c r="AZ7" s="9">
        <f t="shared" si="0"/>
        <v>62031639</v>
      </c>
      <c r="BA7" s="9">
        <f t="shared" si="0"/>
        <v>66999464</v>
      </c>
      <c r="BB7" s="9">
        <f t="shared" si="0"/>
        <v>78031259</v>
      </c>
      <c r="BC7" s="10">
        <f t="shared" si="0"/>
        <v>82088885</v>
      </c>
      <c r="BD7" s="9">
        <f t="shared" si="0"/>
        <v>89435840</v>
      </c>
      <c r="BE7" s="9">
        <f>SUM(BE8:BE16)</f>
        <v>94382606</v>
      </c>
      <c r="BF7" s="9">
        <f>SUM(BF8:BF21)</f>
        <v>112941122</v>
      </c>
      <c r="BG7" s="9">
        <f aca="true" t="shared" si="1" ref="BG7:BM7">SUM(BG8:BG21)</f>
        <v>118812362</v>
      </c>
      <c r="BH7" s="9">
        <f t="shared" si="1"/>
        <v>130568842</v>
      </c>
      <c r="BI7" s="9">
        <f t="shared" si="1"/>
        <v>137658580</v>
      </c>
      <c r="BJ7" s="9">
        <f t="shared" si="1"/>
        <v>142279260</v>
      </c>
      <c r="BK7" s="9">
        <f t="shared" si="1"/>
        <v>144185053</v>
      </c>
      <c r="BL7" s="9">
        <f t="shared" si="1"/>
        <v>146149853</v>
      </c>
      <c r="BM7" s="9">
        <f t="shared" si="1"/>
        <v>147696432</v>
      </c>
      <c r="BN7" s="11"/>
    </row>
    <row r="8" spans="1:66" ht="21" customHeight="1">
      <c r="A8" s="5"/>
      <c r="B8" s="5"/>
      <c r="C8" s="12">
        <v>1</v>
      </c>
      <c r="D8" s="5" t="s">
        <v>201</v>
      </c>
      <c r="E8" s="5"/>
      <c r="F8" s="5"/>
      <c r="G8" s="6"/>
      <c r="H8" s="6"/>
      <c r="I8" s="6"/>
      <c r="J8" s="6"/>
      <c r="K8" s="6"/>
      <c r="L8" s="6"/>
      <c r="M8" s="6"/>
      <c r="N8" s="7"/>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7"/>
      <c r="BD8" s="6">
        <v>2187809</v>
      </c>
      <c r="BE8" s="6">
        <v>999963</v>
      </c>
      <c r="BF8" s="6">
        <v>950000</v>
      </c>
      <c r="BG8" s="6">
        <v>584000</v>
      </c>
      <c r="BH8" s="6"/>
      <c r="BI8" s="6"/>
      <c r="BJ8" s="6"/>
      <c r="BK8" s="6"/>
      <c r="BL8" s="6"/>
      <c r="BM8" s="6"/>
      <c r="BN8" s="11"/>
    </row>
    <row r="9" spans="1:66" ht="21" customHeight="1">
      <c r="A9" s="5"/>
      <c r="B9" s="5"/>
      <c r="C9" s="12">
        <v>1</v>
      </c>
      <c r="D9" s="5" t="s">
        <v>202</v>
      </c>
      <c r="E9" s="5"/>
      <c r="F9" s="5"/>
      <c r="G9" s="6"/>
      <c r="H9" s="6"/>
      <c r="I9" s="6"/>
      <c r="J9" s="6"/>
      <c r="K9" s="6"/>
      <c r="L9" s="6"/>
      <c r="M9" s="6"/>
      <c r="N9" s="7"/>
      <c r="O9" s="6"/>
      <c r="P9" s="6"/>
      <c r="Q9" s="6"/>
      <c r="R9" s="6"/>
      <c r="S9" s="6"/>
      <c r="T9" s="6"/>
      <c r="U9" s="6"/>
      <c r="V9" s="6"/>
      <c r="W9" s="6"/>
      <c r="X9" s="13"/>
      <c r="Y9" s="6">
        <v>103000</v>
      </c>
      <c r="Z9" s="6">
        <v>114300</v>
      </c>
      <c r="AA9" s="6">
        <v>111000</v>
      </c>
      <c r="AB9" s="6">
        <v>124000</v>
      </c>
      <c r="AC9" s="6">
        <v>98000</v>
      </c>
      <c r="AD9" s="6">
        <v>88000</v>
      </c>
      <c r="AE9" s="6">
        <v>75000</v>
      </c>
      <c r="AF9" s="6">
        <v>79000</v>
      </c>
      <c r="AG9" s="6">
        <v>77000</v>
      </c>
      <c r="AH9" s="6">
        <v>82560</v>
      </c>
      <c r="AI9" s="6">
        <v>73341</v>
      </c>
      <c r="AJ9" s="6">
        <v>89323</v>
      </c>
      <c r="AK9" s="6">
        <v>143061</v>
      </c>
      <c r="AL9" s="6">
        <v>86808</v>
      </c>
      <c r="AM9" s="6">
        <v>72780</v>
      </c>
      <c r="AN9" s="6">
        <v>89292</v>
      </c>
      <c r="AO9" s="6">
        <v>104938</v>
      </c>
      <c r="AP9" s="6">
        <v>271678</v>
      </c>
      <c r="AQ9" s="6">
        <v>237961</v>
      </c>
      <c r="AR9" s="6">
        <v>224782</v>
      </c>
      <c r="AS9" s="6">
        <v>220893</v>
      </c>
      <c r="AT9" s="6">
        <v>75272</v>
      </c>
      <c r="AU9" s="6">
        <v>81770</v>
      </c>
      <c r="AV9" s="6">
        <v>82822</v>
      </c>
      <c r="AW9" s="6">
        <v>77546</v>
      </c>
      <c r="AX9" s="6">
        <v>81118</v>
      </c>
      <c r="AY9" s="6">
        <v>75057</v>
      </c>
      <c r="AZ9" s="6">
        <v>76965</v>
      </c>
      <c r="BA9" s="6">
        <v>83583</v>
      </c>
      <c r="BB9" s="6">
        <v>47858</v>
      </c>
      <c r="BC9" s="7">
        <v>27200</v>
      </c>
      <c r="BD9" s="6">
        <v>1227030</v>
      </c>
      <c r="BE9" s="6">
        <v>22099</v>
      </c>
      <c r="BF9" s="6"/>
      <c r="BG9" s="6"/>
      <c r="BH9" s="6"/>
      <c r="BI9" s="6"/>
      <c r="BJ9" s="6"/>
      <c r="BK9" s="6"/>
      <c r="BL9" s="6"/>
      <c r="BM9" s="6"/>
      <c r="BN9" s="11"/>
    </row>
    <row r="10" spans="1:66" ht="21" customHeight="1">
      <c r="A10" s="5"/>
      <c r="B10" s="5"/>
      <c r="C10" s="12">
        <v>1</v>
      </c>
      <c r="D10" s="5" t="s">
        <v>203</v>
      </c>
      <c r="E10" s="5"/>
      <c r="F10" s="5"/>
      <c r="G10" s="6"/>
      <c r="H10" s="6"/>
      <c r="I10" s="6"/>
      <c r="J10" s="6"/>
      <c r="K10" s="6"/>
      <c r="L10" s="6"/>
      <c r="M10" s="6"/>
      <c r="N10" s="7"/>
      <c r="O10" s="6"/>
      <c r="P10" s="6"/>
      <c r="Q10" s="6"/>
      <c r="R10" s="6"/>
      <c r="S10" s="6"/>
      <c r="T10" s="6"/>
      <c r="U10" s="6"/>
      <c r="V10" s="6"/>
      <c r="W10" s="6"/>
      <c r="X10" s="13"/>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7"/>
      <c r="BD10" s="6"/>
      <c r="BE10" s="6">
        <v>4120</v>
      </c>
      <c r="BF10" s="6"/>
      <c r="BG10" s="6"/>
      <c r="BH10" s="6"/>
      <c r="BI10" s="6"/>
      <c r="BJ10" s="6"/>
      <c r="BK10" s="6"/>
      <c r="BL10" s="6"/>
      <c r="BM10" s="6"/>
      <c r="BN10" s="11"/>
    </row>
    <row r="11" spans="1:66" ht="21" customHeight="1">
      <c r="A11" s="5"/>
      <c r="B11" s="5"/>
      <c r="C11" s="12">
        <v>2</v>
      </c>
      <c r="D11" s="5" t="s">
        <v>204</v>
      </c>
      <c r="E11" s="5"/>
      <c r="F11" s="5"/>
      <c r="G11" s="6"/>
      <c r="H11" s="6"/>
      <c r="I11" s="6"/>
      <c r="J11" s="6"/>
      <c r="K11" s="6"/>
      <c r="L11" s="6"/>
      <c r="M11" s="6"/>
      <c r="N11" s="7"/>
      <c r="O11" s="6"/>
      <c r="P11" s="6"/>
      <c r="Q11" s="6"/>
      <c r="R11" s="6"/>
      <c r="S11" s="6"/>
      <c r="T11" s="6"/>
      <c r="U11" s="6"/>
      <c r="V11" s="6"/>
      <c r="W11" s="6"/>
      <c r="X11" s="6"/>
      <c r="Y11" s="13"/>
      <c r="Z11" s="6">
        <v>90000</v>
      </c>
      <c r="AA11" s="6">
        <v>196000</v>
      </c>
      <c r="AB11" s="6">
        <v>541591</v>
      </c>
      <c r="AC11" s="6">
        <v>211000</v>
      </c>
      <c r="AD11" s="6">
        <v>250000</v>
      </c>
      <c r="AE11" s="6">
        <v>305000</v>
      </c>
      <c r="AF11" s="6">
        <v>308000</v>
      </c>
      <c r="AG11" s="6">
        <v>287000</v>
      </c>
      <c r="AH11" s="6">
        <v>252125</v>
      </c>
      <c r="AI11" s="6">
        <v>262632</v>
      </c>
      <c r="AJ11" s="6">
        <v>238821</v>
      </c>
      <c r="AK11" s="6">
        <v>243306</v>
      </c>
      <c r="AL11" s="6">
        <v>238894</v>
      </c>
      <c r="AM11" s="6">
        <v>169501</v>
      </c>
      <c r="AN11" s="6">
        <v>103952</v>
      </c>
      <c r="AO11" s="6">
        <v>91962</v>
      </c>
      <c r="AP11" s="6">
        <v>76800</v>
      </c>
      <c r="AQ11" s="6">
        <v>79667</v>
      </c>
      <c r="AR11" s="6">
        <v>79185</v>
      </c>
      <c r="AS11" s="6">
        <v>75121</v>
      </c>
      <c r="AT11" s="6">
        <v>69179</v>
      </c>
      <c r="AU11" s="6">
        <v>57853</v>
      </c>
      <c r="AV11" s="6">
        <v>59647</v>
      </c>
      <c r="AW11" s="6">
        <v>57498</v>
      </c>
      <c r="AX11" s="6">
        <v>71892</v>
      </c>
      <c r="AY11" s="6">
        <v>78236</v>
      </c>
      <c r="AZ11" s="6">
        <v>78335</v>
      </c>
      <c r="BA11" s="6">
        <v>73158</v>
      </c>
      <c r="BB11" s="6">
        <v>59039</v>
      </c>
      <c r="BC11" s="7">
        <v>29741</v>
      </c>
      <c r="BD11" s="6">
        <v>23616</v>
      </c>
      <c r="BE11" s="6">
        <v>65669</v>
      </c>
      <c r="BF11" s="6"/>
      <c r="BG11" s="6"/>
      <c r="BH11" s="6"/>
      <c r="BI11" s="6"/>
      <c r="BJ11" s="6"/>
      <c r="BK11" s="6"/>
      <c r="BL11" s="6"/>
      <c r="BM11" s="6"/>
      <c r="BN11" s="11"/>
    </row>
    <row r="12" spans="1:66" ht="21" customHeight="1">
      <c r="A12" s="5"/>
      <c r="B12" s="5"/>
      <c r="C12" s="12">
        <v>3</v>
      </c>
      <c r="D12" s="5" t="s">
        <v>205</v>
      </c>
      <c r="E12" s="5"/>
      <c r="F12" s="5"/>
      <c r="G12" s="6"/>
      <c r="H12" s="6"/>
      <c r="I12" s="6"/>
      <c r="J12" s="6"/>
      <c r="K12" s="6"/>
      <c r="L12" s="6"/>
      <c r="M12" s="6"/>
      <c r="N12" s="7"/>
      <c r="O12" s="6"/>
      <c r="P12" s="6"/>
      <c r="Q12" s="6"/>
      <c r="R12" s="6"/>
      <c r="S12" s="6"/>
      <c r="T12" s="6"/>
      <c r="U12" s="6"/>
      <c r="V12" s="6">
        <v>0</v>
      </c>
      <c r="W12" s="6">
        <v>1029877</v>
      </c>
      <c r="X12" s="6">
        <v>2740000</v>
      </c>
      <c r="Y12" s="6">
        <v>3900000</v>
      </c>
      <c r="Z12" s="6">
        <v>4700000</v>
      </c>
      <c r="AA12" s="6">
        <v>5051775</v>
      </c>
      <c r="AB12" s="6">
        <v>5383820</v>
      </c>
      <c r="AC12" s="6">
        <v>6676856</v>
      </c>
      <c r="AD12" s="6">
        <v>8349576</v>
      </c>
      <c r="AE12" s="6">
        <v>9735576</v>
      </c>
      <c r="AF12" s="6">
        <v>12051270</v>
      </c>
      <c r="AG12" s="6">
        <v>14053316</v>
      </c>
      <c r="AH12" s="6">
        <v>14207152</v>
      </c>
      <c r="AI12" s="6">
        <v>13780611</v>
      </c>
      <c r="AJ12" s="6">
        <v>13689782</v>
      </c>
      <c r="AK12" s="6">
        <v>13402040</v>
      </c>
      <c r="AL12" s="6">
        <v>13322427</v>
      </c>
      <c r="AM12" s="6">
        <v>12165801</v>
      </c>
      <c r="AN12" s="6">
        <v>10760512</v>
      </c>
      <c r="AO12" s="6">
        <v>9014127</v>
      </c>
      <c r="AP12" s="6">
        <v>7488165</v>
      </c>
      <c r="AQ12" s="6">
        <v>5096006</v>
      </c>
      <c r="AR12" s="6">
        <v>4322100</v>
      </c>
      <c r="AS12" s="6">
        <v>2171611</v>
      </c>
      <c r="AT12" s="6">
        <v>1001201</v>
      </c>
      <c r="AU12" s="6">
        <v>798832</v>
      </c>
      <c r="AV12" s="6">
        <v>708165</v>
      </c>
      <c r="AW12" s="6">
        <v>570271</v>
      </c>
      <c r="AX12" s="6">
        <v>1457332</v>
      </c>
      <c r="AY12" s="6">
        <v>1522613</v>
      </c>
      <c r="AZ12" s="6">
        <v>1522456</v>
      </c>
      <c r="BA12" s="6">
        <v>1377482</v>
      </c>
      <c r="BB12" s="6">
        <v>1429353</v>
      </c>
      <c r="BC12" s="7">
        <v>1532918</v>
      </c>
      <c r="BD12" s="6">
        <v>1417274</v>
      </c>
      <c r="BE12" s="6">
        <v>93290755</v>
      </c>
      <c r="BF12" s="6"/>
      <c r="BG12" s="6"/>
      <c r="BH12" s="6"/>
      <c r="BI12" s="6"/>
      <c r="BJ12" s="6"/>
      <c r="BK12" s="6"/>
      <c r="BL12" s="6"/>
      <c r="BM12" s="6"/>
      <c r="BN12" s="11"/>
    </row>
    <row r="13" spans="1:66" ht="21" customHeight="1">
      <c r="A13" s="5"/>
      <c r="B13" s="5"/>
      <c r="C13" s="12">
        <v>4</v>
      </c>
      <c r="D13" s="5" t="s">
        <v>206</v>
      </c>
      <c r="E13" s="5"/>
      <c r="F13" s="5"/>
      <c r="G13" s="6"/>
      <c r="H13" s="6"/>
      <c r="I13" s="6"/>
      <c r="J13" s="6"/>
      <c r="K13" s="6"/>
      <c r="L13" s="6"/>
      <c r="M13" s="6"/>
      <c r="N13" s="7"/>
      <c r="O13" s="6"/>
      <c r="P13" s="6"/>
      <c r="Q13" s="6"/>
      <c r="R13" s="6"/>
      <c r="S13" s="6"/>
      <c r="T13" s="6"/>
      <c r="U13" s="6"/>
      <c r="V13" s="6"/>
      <c r="W13" s="6"/>
      <c r="X13" s="6"/>
      <c r="Y13" s="6"/>
      <c r="Z13" s="6"/>
      <c r="AA13" s="6"/>
      <c r="AB13" s="6"/>
      <c r="AC13" s="6"/>
      <c r="AD13" s="13"/>
      <c r="AE13" s="6">
        <v>2270000</v>
      </c>
      <c r="AF13" s="6">
        <v>3704097</v>
      </c>
      <c r="AG13" s="6">
        <v>4608978</v>
      </c>
      <c r="AH13" s="6">
        <v>4816536</v>
      </c>
      <c r="AI13" s="6"/>
      <c r="AJ13" s="6"/>
      <c r="AK13" s="6"/>
      <c r="AL13" s="6"/>
      <c r="AM13" s="5"/>
      <c r="AN13" s="5"/>
      <c r="AO13" s="5"/>
      <c r="AP13" s="5"/>
      <c r="AQ13" s="5"/>
      <c r="AR13" s="5"/>
      <c r="AS13" s="5"/>
      <c r="AT13" s="5"/>
      <c r="AU13" s="5"/>
      <c r="AV13" s="5"/>
      <c r="AW13" s="5"/>
      <c r="AX13" s="5"/>
      <c r="AY13" s="6"/>
      <c r="AZ13" s="6"/>
      <c r="BA13" s="6"/>
      <c r="BB13" s="6"/>
      <c r="BC13" s="7"/>
      <c r="BD13" s="14"/>
      <c r="BE13" s="14"/>
      <c r="BF13" s="14"/>
      <c r="BG13" s="14"/>
      <c r="BH13" s="14"/>
      <c r="BI13" s="14"/>
      <c r="BJ13" s="14"/>
      <c r="BK13" s="14"/>
      <c r="BL13" s="14"/>
      <c r="BM13" s="14"/>
      <c r="BN13" s="11"/>
    </row>
    <row r="14" spans="1:66" ht="21" customHeight="1">
      <c r="A14" s="5"/>
      <c r="B14" s="5"/>
      <c r="C14" s="12">
        <v>6</v>
      </c>
      <c r="D14" s="5" t="s">
        <v>207</v>
      </c>
      <c r="E14" s="5"/>
      <c r="F14" s="5"/>
      <c r="G14" s="6"/>
      <c r="H14" s="6"/>
      <c r="I14" s="6"/>
      <c r="J14" s="6"/>
      <c r="K14" s="6"/>
      <c r="L14" s="6"/>
      <c r="M14" s="6"/>
      <c r="N14" s="7"/>
      <c r="O14" s="6"/>
      <c r="P14" s="6"/>
      <c r="Q14" s="6"/>
      <c r="R14" s="6"/>
      <c r="S14" s="6"/>
      <c r="T14" s="6"/>
      <c r="U14" s="6"/>
      <c r="V14" s="6"/>
      <c r="W14" s="6"/>
      <c r="X14" s="6"/>
      <c r="Y14" s="6"/>
      <c r="Z14" s="6"/>
      <c r="AA14" s="6"/>
      <c r="AB14" s="6">
        <v>0</v>
      </c>
      <c r="AC14" s="6">
        <v>5213303</v>
      </c>
      <c r="AD14" s="6">
        <v>11943408</v>
      </c>
      <c r="AE14" s="6">
        <v>19654658</v>
      </c>
      <c r="AF14" s="6">
        <v>14579795</v>
      </c>
      <c r="AG14" s="6">
        <v>14930535</v>
      </c>
      <c r="AH14" s="6">
        <v>8645092</v>
      </c>
      <c r="AI14" s="6">
        <v>10056838</v>
      </c>
      <c r="AJ14" s="6">
        <v>8610875</v>
      </c>
      <c r="AK14" s="6">
        <v>5789748</v>
      </c>
      <c r="AL14" s="6">
        <v>6219792</v>
      </c>
      <c r="AM14" s="6">
        <v>6046751</v>
      </c>
      <c r="AN14" s="6">
        <v>5586975</v>
      </c>
      <c r="AO14" s="6">
        <v>5123654</v>
      </c>
      <c r="AP14" s="6">
        <v>4779480</v>
      </c>
      <c r="AQ14" s="6">
        <v>4500950</v>
      </c>
      <c r="AR14" s="6">
        <v>4051129</v>
      </c>
      <c r="AS14" s="6">
        <v>3800498</v>
      </c>
      <c r="AT14" s="6">
        <v>3722365</v>
      </c>
      <c r="AU14" s="6">
        <v>3464800</v>
      </c>
      <c r="AV14" s="6">
        <v>3083433</v>
      </c>
      <c r="AW14" s="6">
        <v>1158292</v>
      </c>
      <c r="AX14" s="6">
        <v>1098292</v>
      </c>
      <c r="AY14" s="6">
        <v>1086186</v>
      </c>
      <c r="AZ14" s="6">
        <v>1086186</v>
      </c>
      <c r="BA14" s="6">
        <v>930000</v>
      </c>
      <c r="BB14" s="6">
        <v>930000</v>
      </c>
      <c r="BC14" s="7">
        <v>802434</v>
      </c>
      <c r="BD14" s="14">
        <v>0</v>
      </c>
      <c r="BE14" s="14"/>
      <c r="BF14" s="14"/>
      <c r="BG14" s="14"/>
      <c r="BH14" s="14"/>
      <c r="BI14" s="14"/>
      <c r="BJ14" s="14"/>
      <c r="BK14" s="14"/>
      <c r="BL14" s="14"/>
      <c r="BM14" s="14"/>
      <c r="BN14" s="11"/>
    </row>
    <row r="15" spans="1:66" ht="21" customHeight="1">
      <c r="A15" s="5"/>
      <c r="B15" s="5"/>
      <c r="C15" s="15">
        <v>7</v>
      </c>
      <c r="D15" s="5" t="s">
        <v>208</v>
      </c>
      <c r="E15" s="5"/>
      <c r="F15" s="5"/>
      <c r="G15" s="6"/>
      <c r="H15" s="6"/>
      <c r="I15" s="6"/>
      <c r="J15" s="6"/>
      <c r="K15" s="6"/>
      <c r="L15" s="6">
        <v>200000</v>
      </c>
      <c r="M15" s="6">
        <v>245920</v>
      </c>
      <c r="N15" s="7">
        <v>30376</v>
      </c>
      <c r="O15" s="6">
        <v>24808</v>
      </c>
      <c r="P15" s="14">
        <v>19400</v>
      </c>
      <c r="Q15" s="14">
        <v>10670</v>
      </c>
      <c r="R15" s="14">
        <v>10670</v>
      </c>
      <c r="S15" s="6">
        <v>7440</v>
      </c>
      <c r="T15" s="14">
        <v>7440</v>
      </c>
      <c r="U15" s="6">
        <v>7440</v>
      </c>
      <c r="V15" s="14">
        <v>7440</v>
      </c>
      <c r="W15" s="14">
        <v>7440</v>
      </c>
      <c r="X15" s="14">
        <v>8500</v>
      </c>
      <c r="Y15" s="14">
        <v>12050</v>
      </c>
      <c r="Z15" s="14">
        <v>14130</v>
      </c>
      <c r="AA15" s="14">
        <v>20939</v>
      </c>
      <c r="AB15" s="6">
        <v>0</v>
      </c>
      <c r="AC15" s="6"/>
      <c r="AD15" s="6"/>
      <c r="AE15" s="6"/>
      <c r="AF15" s="6"/>
      <c r="AG15" s="6"/>
      <c r="AH15" s="6"/>
      <c r="AI15" s="6"/>
      <c r="AJ15" s="6"/>
      <c r="AK15" s="6"/>
      <c r="AL15" s="6"/>
      <c r="AM15" s="6"/>
      <c r="AN15" s="6"/>
      <c r="AO15" s="6"/>
      <c r="AP15" s="6"/>
      <c r="AQ15" s="5"/>
      <c r="AR15" s="6"/>
      <c r="AS15" s="6"/>
      <c r="AT15" s="6"/>
      <c r="AU15" s="6"/>
      <c r="AV15" s="6"/>
      <c r="AW15" s="6"/>
      <c r="AX15" s="6"/>
      <c r="AY15" s="6"/>
      <c r="AZ15" s="6"/>
      <c r="BA15" s="6"/>
      <c r="BB15" s="6"/>
      <c r="BC15" s="7"/>
      <c r="BD15" s="14"/>
      <c r="BE15" s="14"/>
      <c r="BF15" s="14"/>
      <c r="BG15" s="14"/>
      <c r="BH15" s="14"/>
      <c r="BI15" s="14"/>
      <c r="BJ15" s="14"/>
      <c r="BK15" s="14"/>
      <c r="BL15" s="14"/>
      <c r="BM15" s="14"/>
      <c r="BN15" s="11"/>
    </row>
    <row r="16" spans="1:66" ht="21" customHeight="1">
      <c r="A16" s="5"/>
      <c r="B16" s="5"/>
      <c r="C16" s="12">
        <v>8</v>
      </c>
      <c r="D16" s="5" t="s">
        <v>209</v>
      </c>
      <c r="E16" s="5"/>
      <c r="F16" s="5"/>
      <c r="G16" s="6">
        <v>1183076</v>
      </c>
      <c r="H16" s="6">
        <v>1819673</v>
      </c>
      <c r="I16" s="6">
        <v>1960655</v>
      </c>
      <c r="J16" s="6">
        <v>2351242</v>
      </c>
      <c r="K16" s="6">
        <v>2601089</v>
      </c>
      <c r="L16" s="6">
        <v>2479998</v>
      </c>
      <c r="M16" s="6">
        <v>2807558</v>
      </c>
      <c r="N16" s="7">
        <v>3048765</v>
      </c>
      <c r="O16" s="6">
        <v>3434691</v>
      </c>
      <c r="P16" s="6">
        <v>3708829</v>
      </c>
      <c r="Q16" s="6">
        <v>4079064</v>
      </c>
      <c r="R16" s="6">
        <v>5018904</v>
      </c>
      <c r="S16" s="6">
        <f>5708674-7440</f>
        <v>5701234</v>
      </c>
      <c r="T16" s="6">
        <v>6464961</v>
      </c>
      <c r="U16" s="6">
        <f>7492819-7440</f>
        <v>7485379</v>
      </c>
      <c r="V16" s="6">
        <v>8120926</v>
      </c>
      <c r="W16" s="6">
        <v>9687909</v>
      </c>
      <c r="X16" s="6">
        <v>9301642</v>
      </c>
      <c r="Y16" s="6">
        <v>10305971</v>
      </c>
      <c r="Z16" s="6">
        <v>11387232</v>
      </c>
      <c r="AA16" s="6">
        <v>12829902</v>
      </c>
      <c r="AB16" s="6">
        <v>14789861</v>
      </c>
      <c r="AC16" s="6">
        <v>16203309</v>
      </c>
      <c r="AD16" s="6">
        <v>19397613</v>
      </c>
      <c r="AE16" s="6">
        <v>22679469</v>
      </c>
      <c r="AF16" s="6">
        <f>28005504+7359</f>
        <v>28012863</v>
      </c>
      <c r="AG16" s="6">
        <f>29057256+7284</f>
        <v>29064540</v>
      </c>
      <c r="AH16" s="6">
        <v>31040957</v>
      </c>
      <c r="AI16" s="6">
        <v>31776865</v>
      </c>
      <c r="AJ16" s="6">
        <v>48720673</v>
      </c>
      <c r="AK16" s="6">
        <v>41555559</v>
      </c>
      <c r="AL16" s="6">
        <v>43181051</v>
      </c>
      <c r="AM16" s="6">
        <v>45018780</v>
      </c>
      <c r="AN16" s="6">
        <v>45515014</v>
      </c>
      <c r="AO16" s="6">
        <v>45345729</v>
      </c>
      <c r="AP16" s="6">
        <v>46453143</v>
      </c>
      <c r="AQ16" s="6">
        <v>46512524</v>
      </c>
      <c r="AR16" s="6">
        <v>45849389</v>
      </c>
      <c r="AS16" s="6">
        <v>48383773</v>
      </c>
      <c r="AT16" s="6">
        <v>50930561</v>
      </c>
      <c r="AU16" s="6">
        <v>51176791</v>
      </c>
      <c r="AV16" s="6">
        <v>52530565</v>
      </c>
      <c r="AW16" s="14">
        <v>54341639</v>
      </c>
      <c r="AX16" s="14">
        <f>56947504-768988</f>
        <v>56178516</v>
      </c>
      <c r="AY16" s="14">
        <f>58176835-925553</f>
        <v>57251282</v>
      </c>
      <c r="AZ16" s="14">
        <v>59267697</v>
      </c>
      <c r="BA16" s="14">
        <v>64535241</v>
      </c>
      <c r="BB16" s="14">
        <v>75565009</v>
      </c>
      <c r="BC16" s="16">
        <v>79696592</v>
      </c>
      <c r="BD16" s="14">
        <v>84580111</v>
      </c>
      <c r="BE16" s="14"/>
      <c r="BF16" s="14"/>
      <c r="BG16" s="14"/>
      <c r="BH16" s="14"/>
      <c r="BI16" s="14"/>
      <c r="BJ16" s="14"/>
      <c r="BK16" s="14"/>
      <c r="BL16" s="14"/>
      <c r="BM16" s="14"/>
      <c r="BN16" s="11"/>
    </row>
    <row r="17" spans="1:66" ht="21" customHeight="1">
      <c r="A17" s="5"/>
      <c r="B17" s="5"/>
      <c r="C17" s="5"/>
      <c r="D17" s="5"/>
      <c r="E17" s="17" t="s">
        <v>210</v>
      </c>
      <c r="F17" s="18"/>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14"/>
      <c r="AX17" s="14"/>
      <c r="AY17" s="14"/>
      <c r="AZ17" s="14"/>
      <c r="BA17" s="14"/>
      <c r="BB17" s="14"/>
      <c r="BC17" s="16"/>
      <c r="BD17" s="14"/>
      <c r="BE17" s="14"/>
      <c r="BF17" s="14">
        <v>38863030</v>
      </c>
      <c r="BG17" s="14">
        <v>47397564</v>
      </c>
      <c r="BH17" s="14">
        <v>38974002</v>
      </c>
      <c r="BI17" s="14">
        <v>19224757</v>
      </c>
      <c r="BJ17" s="14">
        <v>22973288</v>
      </c>
      <c r="BK17" s="14">
        <v>25081614</v>
      </c>
      <c r="BL17" s="14">
        <v>30223905</v>
      </c>
      <c r="BM17" s="14">
        <v>36907498</v>
      </c>
      <c r="BN17" s="11"/>
    </row>
    <row r="18" spans="1:66" ht="21" customHeight="1">
      <c r="A18" s="5"/>
      <c r="B18" s="5"/>
      <c r="C18" s="5"/>
      <c r="D18" s="5"/>
      <c r="E18" s="17" t="s">
        <v>211</v>
      </c>
      <c r="F18" s="18"/>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14"/>
      <c r="AX18" s="14"/>
      <c r="AY18" s="14"/>
      <c r="AZ18" s="14"/>
      <c r="BA18" s="14"/>
      <c r="BB18" s="14"/>
      <c r="BC18" s="16"/>
      <c r="BD18" s="14"/>
      <c r="BE18" s="14"/>
      <c r="BF18" s="14">
        <v>2624994</v>
      </c>
      <c r="BG18" s="14">
        <v>2159468</v>
      </c>
      <c r="BH18" s="14"/>
      <c r="BI18" s="14"/>
      <c r="BJ18" s="14"/>
      <c r="BK18" s="14"/>
      <c r="BL18" s="14"/>
      <c r="BM18" s="14"/>
      <c r="BN18" s="11"/>
    </row>
    <row r="19" spans="1:66" ht="21" customHeight="1">
      <c r="A19" s="5"/>
      <c r="B19" s="5"/>
      <c r="C19" s="5"/>
      <c r="D19" s="5"/>
      <c r="E19" s="17" t="s">
        <v>212</v>
      </c>
      <c r="F19" s="18"/>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14"/>
      <c r="AX19" s="14"/>
      <c r="AY19" s="14"/>
      <c r="AZ19" s="14"/>
      <c r="BA19" s="14"/>
      <c r="BB19" s="14"/>
      <c r="BC19" s="16"/>
      <c r="BD19" s="14"/>
      <c r="BE19" s="14"/>
      <c r="BF19" s="14">
        <v>70503098</v>
      </c>
      <c r="BG19" s="14">
        <v>68671330</v>
      </c>
      <c r="BH19" s="14">
        <v>72796330</v>
      </c>
      <c r="BI19" s="14">
        <v>71558340</v>
      </c>
      <c r="BJ19" s="14">
        <v>72371880</v>
      </c>
      <c r="BK19" s="14">
        <v>72237300</v>
      </c>
      <c r="BL19" s="14">
        <v>68706753</v>
      </c>
      <c r="BM19" s="14">
        <f>64237356+600000</f>
        <v>64837356</v>
      </c>
      <c r="BN19" s="11"/>
    </row>
    <row r="20" spans="1:66" ht="21" customHeight="1">
      <c r="A20" s="5"/>
      <c r="B20" s="5"/>
      <c r="C20" s="5"/>
      <c r="D20" s="5"/>
      <c r="E20" s="17" t="s">
        <v>213</v>
      </c>
      <c r="F20" s="18"/>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14"/>
      <c r="AX20" s="14"/>
      <c r="AY20" s="14"/>
      <c r="AZ20" s="14"/>
      <c r="BA20" s="14"/>
      <c r="BB20" s="14"/>
      <c r="BC20" s="16"/>
      <c r="BD20" s="14"/>
      <c r="BE20" s="14"/>
      <c r="BF20" s="14"/>
      <c r="BG20" s="14"/>
      <c r="BH20" s="14">
        <v>17143263</v>
      </c>
      <c r="BI20" s="14">
        <v>41625982</v>
      </c>
      <c r="BJ20" s="14">
        <v>41670822</v>
      </c>
      <c r="BK20" s="14">
        <v>41670000</v>
      </c>
      <c r="BL20" s="14">
        <v>42102187</v>
      </c>
      <c r="BM20" s="14">
        <v>40834570</v>
      </c>
      <c r="BN20" s="11"/>
    </row>
    <row r="21" spans="1:66" ht="21" customHeight="1">
      <c r="A21" s="5"/>
      <c r="B21" s="5"/>
      <c r="C21" s="5"/>
      <c r="D21" s="5"/>
      <c r="E21" s="17" t="s">
        <v>214</v>
      </c>
      <c r="F21" s="18"/>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14"/>
      <c r="AX21" s="14"/>
      <c r="AY21" s="14"/>
      <c r="AZ21" s="14"/>
      <c r="BA21" s="14"/>
      <c r="BB21" s="14"/>
      <c r="BC21" s="16"/>
      <c r="BD21" s="14"/>
      <c r="BE21" s="14"/>
      <c r="BF21" s="14"/>
      <c r="BG21" s="14"/>
      <c r="BH21" s="14">
        <v>1655247</v>
      </c>
      <c r="BI21" s="14">
        <v>5249501</v>
      </c>
      <c r="BJ21" s="14">
        <v>5263270</v>
      </c>
      <c r="BK21" s="14">
        <v>5196139</v>
      </c>
      <c r="BL21" s="14">
        <v>5117008</v>
      </c>
      <c r="BM21" s="14">
        <v>5117008</v>
      </c>
      <c r="BN21" s="11"/>
    </row>
    <row r="22" spans="1:66" ht="21" customHeight="1">
      <c r="A22" s="5"/>
      <c r="B22" s="5"/>
      <c r="C22" s="119"/>
      <c r="D22" s="120"/>
      <c r="E22" s="120"/>
      <c r="F22" s="121"/>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14"/>
      <c r="AX22" s="14"/>
      <c r="AY22" s="14"/>
      <c r="AZ22" s="14"/>
      <c r="BA22" s="14"/>
      <c r="BB22" s="14"/>
      <c r="BC22" s="16"/>
      <c r="BD22" s="14"/>
      <c r="BE22" s="14"/>
      <c r="BF22" s="14"/>
      <c r="BG22" s="14"/>
      <c r="BH22" s="14"/>
      <c r="BI22" s="14"/>
      <c r="BJ22" s="14"/>
      <c r="BK22" s="14"/>
      <c r="BL22" s="14"/>
      <c r="BM22" s="14"/>
      <c r="BN22" s="11"/>
    </row>
    <row r="23" spans="1:66" ht="21" customHeight="1">
      <c r="A23" s="5"/>
      <c r="B23" s="5"/>
      <c r="C23" s="119"/>
      <c r="D23" s="120"/>
      <c r="E23" s="120"/>
      <c r="F23" s="121"/>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14"/>
      <c r="AX23" s="14"/>
      <c r="AY23" s="14"/>
      <c r="AZ23" s="14"/>
      <c r="BA23" s="14"/>
      <c r="BB23" s="14"/>
      <c r="BC23" s="16"/>
      <c r="BD23" s="14"/>
      <c r="BE23" s="14"/>
      <c r="BF23" s="14"/>
      <c r="BG23" s="14"/>
      <c r="BH23" s="14"/>
      <c r="BI23" s="14"/>
      <c r="BJ23" s="14"/>
      <c r="BK23" s="14"/>
      <c r="BL23" s="14"/>
      <c r="BM23" s="14"/>
      <c r="BN23" s="11"/>
    </row>
    <row r="24" spans="1:66" ht="21" customHeight="1">
      <c r="A24" s="5"/>
      <c r="B24" s="5"/>
      <c r="C24" s="119"/>
      <c r="D24" s="120"/>
      <c r="E24" s="120"/>
      <c r="F24" s="121"/>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5"/>
      <c r="AN24" s="5"/>
      <c r="AO24" s="5"/>
      <c r="AP24" s="5"/>
      <c r="AQ24" s="5"/>
      <c r="AR24" s="5"/>
      <c r="AS24" s="6"/>
      <c r="AT24" s="6"/>
      <c r="AU24" s="6"/>
      <c r="AV24" s="6"/>
      <c r="AW24" s="6"/>
      <c r="AX24" s="6"/>
      <c r="AY24" s="6"/>
      <c r="AZ24" s="6"/>
      <c r="BA24" s="6"/>
      <c r="BB24" s="6"/>
      <c r="BC24" s="7"/>
      <c r="BD24" s="6"/>
      <c r="BE24" s="6"/>
      <c r="BF24" s="6"/>
      <c r="BG24" s="6"/>
      <c r="BH24" s="6"/>
      <c r="BI24" s="6"/>
      <c r="BJ24" s="6"/>
      <c r="BK24" s="6"/>
      <c r="BL24" s="6"/>
      <c r="BM24" s="6"/>
      <c r="BN24" s="11"/>
    </row>
    <row r="25" spans="1:66" ht="21" customHeight="1">
      <c r="A25" s="4" t="s">
        <v>215</v>
      </c>
      <c r="B25" s="5"/>
      <c r="C25" s="5"/>
      <c r="D25" s="5"/>
      <c r="E25" s="5"/>
      <c r="F25" s="5"/>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5"/>
      <c r="AN25" s="5"/>
      <c r="AO25" s="5"/>
      <c r="AP25" s="5"/>
      <c r="AQ25" s="5"/>
      <c r="AR25" s="5"/>
      <c r="AS25" s="6"/>
      <c r="AT25" s="6"/>
      <c r="AU25" s="6"/>
      <c r="AV25" s="6"/>
      <c r="AW25" s="6"/>
      <c r="AX25" s="6"/>
      <c r="AY25" s="6"/>
      <c r="AZ25" s="6"/>
      <c r="BA25" s="6"/>
      <c r="BB25" s="6"/>
      <c r="BC25" s="7"/>
      <c r="BD25" s="6"/>
      <c r="BE25" s="6"/>
      <c r="BF25" s="6"/>
      <c r="BG25" s="6"/>
      <c r="BH25" s="6"/>
      <c r="BI25" s="6"/>
      <c r="BJ25" s="6"/>
      <c r="BK25" s="6"/>
      <c r="BL25" s="6"/>
      <c r="BM25" s="6"/>
      <c r="BN25" s="11"/>
    </row>
    <row r="26" spans="1:66" ht="21" customHeight="1">
      <c r="A26" s="5"/>
      <c r="B26" s="8" t="s">
        <v>216</v>
      </c>
      <c r="C26" s="5"/>
      <c r="D26" s="5"/>
      <c r="E26" s="5"/>
      <c r="F26" s="5"/>
      <c r="G26" s="9"/>
      <c r="H26" s="9"/>
      <c r="I26" s="9"/>
      <c r="J26" s="9"/>
      <c r="K26" s="9"/>
      <c r="L26" s="9"/>
      <c r="M26" s="9">
        <v>182500</v>
      </c>
      <c r="N26" s="10">
        <v>301000</v>
      </c>
      <c r="O26" s="9">
        <v>500000</v>
      </c>
      <c r="P26" s="9">
        <f aca="true" t="shared" si="2" ref="P26:AA26">P147-P148</f>
        <v>886500</v>
      </c>
      <c r="Q26" s="9">
        <f t="shared" si="2"/>
        <v>1271067</v>
      </c>
      <c r="R26" s="9">
        <f t="shared" si="2"/>
        <v>2493725</v>
      </c>
      <c r="S26" s="9">
        <f t="shared" si="2"/>
        <v>3719651</v>
      </c>
      <c r="T26" s="9">
        <f t="shared" si="2"/>
        <v>5356251</v>
      </c>
      <c r="U26" s="9">
        <f t="shared" si="2"/>
        <v>7022630</v>
      </c>
      <c r="V26" s="9">
        <f t="shared" si="2"/>
        <v>8268372</v>
      </c>
      <c r="W26" s="9">
        <f t="shared" si="2"/>
        <v>9004520</v>
      </c>
      <c r="X26" s="9">
        <f t="shared" si="2"/>
        <v>6185600</v>
      </c>
      <c r="Y26" s="9">
        <f t="shared" si="2"/>
        <v>6289101</v>
      </c>
      <c r="Z26" s="9">
        <f t="shared" si="2"/>
        <v>6636000</v>
      </c>
      <c r="AA26" s="9">
        <f t="shared" si="2"/>
        <v>9301000</v>
      </c>
      <c r="AB26" s="9">
        <v>12585000</v>
      </c>
      <c r="AC26" s="9">
        <f aca="true" t="shared" si="3" ref="AC26:BM26">AC147-AC148</f>
        <v>15853000</v>
      </c>
      <c r="AD26" s="9">
        <f t="shared" si="3"/>
        <v>17915000</v>
      </c>
      <c r="AE26" s="9">
        <f t="shared" si="3"/>
        <v>16457000</v>
      </c>
      <c r="AF26" s="9">
        <f t="shared" si="3"/>
        <v>15579000</v>
      </c>
      <c r="AG26" s="9">
        <f t="shared" si="3"/>
        <v>18237288</v>
      </c>
      <c r="AH26" s="9">
        <f t="shared" si="3"/>
        <v>20012266</v>
      </c>
      <c r="AI26" s="9">
        <f t="shared" si="3"/>
        <v>17136899</v>
      </c>
      <c r="AJ26" s="9">
        <f t="shared" si="3"/>
        <v>16746275</v>
      </c>
      <c r="AK26" s="9">
        <f t="shared" si="3"/>
        <v>15259449</v>
      </c>
      <c r="AL26" s="9">
        <f t="shared" si="3"/>
        <v>13185087</v>
      </c>
      <c r="AM26" s="9">
        <f t="shared" si="3"/>
        <v>12959372</v>
      </c>
      <c r="AN26" s="9">
        <f t="shared" si="3"/>
        <v>11943186</v>
      </c>
      <c r="AO26" s="9">
        <f t="shared" si="3"/>
        <v>10406551</v>
      </c>
      <c r="AP26" s="9">
        <f t="shared" si="3"/>
        <v>9447252</v>
      </c>
      <c r="AQ26" s="9">
        <f t="shared" si="3"/>
        <v>10054273</v>
      </c>
      <c r="AR26" s="9">
        <f t="shared" si="3"/>
        <v>10141095</v>
      </c>
      <c r="AS26" s="9">
        <f t="shared" si="3"/>
        <v>9533000</v>
      </c>
      <c r="AT26" s="9">
        <f t="shared" si="3"/>
        <v>9910620</v>
      </c>
      <c r="AU26" s="9">
        <f t="shared" si="3"/>
        <v>10461394</v>
      </c>
      <c r="AV26" s="9">
        <f t="shared" si="3"/>
        <v>11661191</v>
      </c>
      <c r="AW26" s="9">
        <f t="shared" si="3"/>
        <v>15448061</v>
      </c>
      <c r="AX26" s="9">
        <f t="shared" si="3"/>
        <v>16035602</v>
      </c>
      <c r="AY26" s="9">
        <f t="shared" si="3"/>
        <v>19303891</v>
      </c>
      <c r="AZ26" s="9">
        <f t="shared" si="3"/>
        <v>12263574</v>
      </c>
      <c r="BA26" s="9">
        <f t="shared" si="3"/>
        <v>12722185</v>
      </c>
      <c r="BB26" s="9">
        <f t="shared" si="3"/>
        <v>11819125</v>
      </c>
      <c r="BC26" s="10">
        <f t="shared" si="3"/>
        <v>10488047</v>
      </c>
      <c r="BD26" s="9">
        <f t="shared" si="3"/>
        <v>10388000</v>
      </c>
      <c r="BE26" s="9">
        <f t="shared" si="3"/>
        <v>11250769</v>
      </c>
      <c r="BF26" s="9">
        <f t="shared" si="3"/>
        <v>9322000</v>
      </c>
      <c r="BG26" s="9">
        <f t="shared" si="3"/>
        <v>4737898</v>
      </c>
      <c r="BH26" s="9">
        <f t="shared" si="3"/>
        <v>5135000</v>
      </c>
      <c r="BI26" s="9">
        <f t="shared" si="3"/>
        <v>32129772</v>
      </c>
      <c r="BJ26" s="9">
        <f t="shared" si="3"/>
        <v>5747394</v>
      </c>
      <c r="BK26" s="9">
        <f t="shared" si="3"/>
        <v>3106000</v>
      </c>
      <c r="BL26" s="9">
        <f t="shared" si="3"/>
        <v>3042000</v>
      </c>
      <c r="BM26" s="9">
        <f t="shared" si="3"/>
        <v>2735000</v>
      </c>
      <c r="BN26" s="11"/>
    </row>
    <row r="27" spans="1:66" ht="21" customHeight="1">
      <c r="A27" s="5"/>
      <c r="B27" s="5"/>
      <c r="C27" s="5"/>
      <c r="D27" s="5" t="s">
        <v>217</v>
      </c>
      <c r="E27" s="5"/>
      <c r="F27" s="5"/>
      <c r="G27" s="6"/>
      <c r="H27" s="6"/>
      <c r="I27" s="6"/>
      <c r="J27" s="6"/>
      <c r="K27" s="6"/>
      <c r="L27" s="6"/>
      <c r="M27" s="14">
        <v>182500</v>
      </c>
      <c r="N27" s="16">
        <v>301000</v>
      </c>
      <c r="O27" s="6">
        <v>500000</v>
      </c>
      <c r="P27" s="6">
        <v>886500</v>
      </c>
      <c r="Q27" s="6">
        <v>1271067</v>
      </c>
      <c r="R27" s="6">
        <v>2493725</v>
      </c>
      <c r="S27" s="6">
        <v>3780251</v>
      </c>
      <c r="T27" s="6">
        <v>5356251</v>
      </c>
      <c r="U27" s="6">
        <v>7022630</v>
      </c>
      <c r="V27" s="6">
        <v>8339130</v>
      </c>
      <c r="W27" s="6">
        <v>8172000</v>
      </c>
      <c r="X27" s="6">
        <v>6242180</v>
      </c>
      <c r="Y27" s="6">
        <v>6648123</v>
      </c>
      <c r="Z27" s="6">
        <v>7379912</v>
      </c>
      <c r="AA27" s="6">
        <v>10100000</v>
      </c>
      <c r="AB27" s="6">
        <v>13435000</v>
      </c>
      <c r="AC27" s="6">
        <v>18761324</v>
      </c>
      <c r="AD27" s="6">
        <v>23316000</v>
      </c>
      <c r="AE27" s="6">
        <v>23100000</v>
      </c>
      <c r="AF27" s="6">
        <v>21400000</v>
      </c>
      <c r="AG27" s="6">
        <v>24250000</v>
      </c>
      <c r="AH27" s="6">
        <v>26307000</v>
      </c>
      <c r="AI27" s="6">
        <v>25012000</v>
      </c>
      <c r="AJ27" s="6">
        <v>23904000</v>
      </c>
      <c r="AK27" s="6">
        <v>22563000</v>
      </c>
      <c r="AL27" s="6">
        <v>20973000</v>
      </c>
      <c r="AM27" s="6">
        <v>19644000</v>
      </c>
      <c r="AN27" s="6">
        <v>18485000</v>
      </c>
      <c r="AO27" s="6">
        <v>16840000</v>
      </c>
      <c r="AP27" s="6">
        <v>16405000</v>
      </c>
      <c r="AQ27" s="6">
        <v>15940000</v>
      </c>
      <c r="AR27" s="6">
        <v>15633000</v>
      </c>
      <c r="AS27" s="6">
        <v>18439000</v>
      </c>
      <c r="AT27" s="6">
        <v>18661000</v>
      </c>
      <c r="AU27" s="6">
        <v>18682000</v>
      </c>
      <c r="AV27" s="6">
        <v>19151000</v>
      </c>
      <c r="AW27" s="6">
        <v>19519000</v>
      </c>
      <c r="AX27" s="6">
        <v>20344800</v>
      </c>
      <c r="AY27" s="6">
        <v>25700208</v>
      </c>
      <c r="AZ27" s="6">
        <v>15404000</v>
      </c>
      <c r="BA27" s="6">
        <v>15404000</v>
      </c>
      <c r="BB27" s="6">
        <v>14031000</v>
      </c>
      <c r="BC27" s="7">
        <v>11978000</v>
      </c>
      <c r="BD27" s="6">
        <v>12051000</v>
      </c>
      <c r="BE27" s="6">
        <v>11872000</v>
      </c>
      <c r="BF27" s="6">
        <v>11087000</v>
      </c>
      <c r="BG27" s="6">
        <v>7864000</v>
      </c>
      <c r="BH27" s="6">
        <v>6384000</v>
      </c>
      <c r="BI27" s="6">
        <v>5621000</v>
      </c>
      <c r="BJ27" s="6">
        <v>4806000</v>
      </c>
      <c r="BK27" s="6">
        <v>3506000</v>
      </c>
      <c r="BL27" s="6">
        <v>3420000</v>
      </c>
      <c r="BM27" s="6">
        <v>3340000</v>
      </c>
      <c r="BN27" s="11"/>
    </row>
    <row r="28" spans="1:66" ht="21" customHeight="1">
      <c r="A28" s="5"/>
      <c r="B28" s="5"/>
      <c r="C28" s="5"/>
      <c r="D28" s="5" t="s">
        <v>218</v>
      </c>
      <c r="E28" s="5"/>
      <c r="F28" s="5"/>
      <c r="G28" s="19"/>
      <c r="H28" s="19"/>
      <c r="I28" s="19"/>
      <c r="J28" s="19"/>
      <c r="K28" s="19"/>
      <c r="L28" s="19"/>
      <c r="M28" s="19"/>
      <c r="N28" s="20"/>
      <c r="O28" s="19"/>
      <c r="P28" s="19">
        <v>886500</v>
      </c>
      <c r="Q28" s="19">
        <v>1271067</v>
      </c>
      <c r="R28" s="19">
        <v>2493725</v>
      </c>
      <c r="S28" s="19">
        <v>3719651</v>
      </c>
      <c r="T28" s="19">
        <v>5356251</v>
      </c>
      <c r="U28" s="19">
        <v>7022630</v>
      </c>
      <c r="V28" s="19">
        <v>8268372</v>
      </c>
      <c r="W28" s="19">
        <v>9004520</v>
      </c>
      <c r="X28" s="19">
        <v>6185600</v>
      </c>
      <c r="Y28" s="19">
        <v>6289101</v>
      </c>
      <c r="Z28" s="19">
        <v>6636000</v>
      </c>
      <c r="AA28" s="19">
        <v>9301000</v>
      </c>
      <c r="AB28" s="19">
        <v>12585000</v>
      </c>
      <c r="AC28" s="19">
        <v>15853000</v>
      </c>
      <c r="AD28" s="19">
        <v>17915000</v>
      </c>
      <c r="AE28" s="19">
        <v>16457000</v>
      </c>
      <c r="AF28" s="19">
        <v>15579000</v>
      </c>
      <c r="AG28" s="19">
        <v>18237288</v>
      </c>
      <c r="AH28" s="19">
        <v>20012266</v>
      </c>
      <c r="AI28" s="19">
        <v>17136899</v>
      </c>
      <c r="AJ28" s="19">
        <v>16746000</v>
      </c>
      <c r="AK28" s="19">
        <v>15259000</v>
      </c>
      <c r="AL28" s="19">
        <v>13185000</v>
      </c>
      <c r="AM28" s="19">
        <v>12959000</v>
      </c>
      <c r="AN28" s="19">
        <v>11943000</v>
      </c>
      <c r="AO28" s="19">
        <v>10407000</v>
      </c>
      <c r="AP28" s="19">
        <v>9447000</v>
      </c>
      <c r="AQ28" s="19">
        <v>10054000</v>
      </c>
      <c r="AR28" s="19">
        <v>10141000</v>
      </c>
      <c r="AS28" s="19">
        <v>9533000</v>
      </c>
      <c r="AT28" s="19">
        <v>9911000</v>
      </c>
      <c r="AU28" s="19">
        <v>10461000</v>
      </c>
      <c r="AV28" s="19">
        <v>0</v>
      </c>
      <c r="AW28" s="19">
        <v>0</v>
      </c>
      <c r="AX28" s="19">
        <v>0</v>
      </c>
      <c r="AY28" s="19">
        <v>0</v>
      </c>
      <c r="AZ28" s="19">
        <v>0</v>
      </c>
      <c r="BA28" s="19">
        <v>0</v>
      </c>
      <c r="BB28" s="19">
        <v>0</v>
      </c>
      <c r="BC28" s="20">
        <v>0</v>
      </c>
      <c r="BD28" s="19">
        <v>0</v>
      </c>
      <c r="BE28" s="19">
        <v>0</v>
      </c>
      <c r="BF28" s="19">
        <v>0</v>
      </c>
      <c r="BG28" s="19">
        <v>0</v>
      </c>
      <c r="BH28" s="19">
        <v>0</v>
      </c>
      <c r="BI28" s="19">
        <v>0</v>
      </c>
      <c r="BJ28" s="19">
        <v>0</v>
      </c>
      <c r="BK28" s="19">
        <v>0</v>
      </c>
      <c r="BL28" s="19">
        <v>0</v>
      </c>
      <c r="BM28" s="19">
        <v>0</v>
      </c>
      <c r="BN28" s="11"/>
    </row>
    <row r="29" spans="1:66" ht="21" customHeight="1">
      <c r="A29" s="5"/>
      <c r="B29" s="5"/>
      <c r="C29" s="5"/>
      <c r="D29" s="5"/>
      <c r="E29" s="5"/>
      <c r="F29" s="5"/>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5"/>
      <c r="AN29" s="5"/>
      <c r="AO29" s="5"/>
      <c r="AP29" s="5"/>
      <c r="AQ29" s="5"/>
      <c r="AR29" s="5"/>
      <c r="AS29" s="6"/>
      <c r="AT29" s="21"/>
      <c r="AU29" s="6"/>
      <c r="AV29" s="6"/>
      <c r="AW29" s="6"/>
      <c r="AX29" s="6"/>
      <c r="AY29" s="6"/>
      <c r="AZ29" s="6"/>
      <c r="BA29" s="6"/>
      <c r="BB29" s="6"/>
      <c r="BC29" s="7"/>
      <c r="BD29" s="6"/>
      <c r="BE29" s="6"/>
      <c r="BF29" s="6"/>
      <c r="BG29" s="6"/>
      <c r="BH29" s="6"/>
      <c r="BI29" s="6"/>
      <c r="BJ29" s="6"/>
      <c r="BK29" s="6"/>
      <c r="BL29" s="6"/>
      <c r="BM29" s="6"/>
      <c r="BN29" s="11"/>
    </row>
    <row r="30" spans="1:66" ht="21" customHeight="1">
      <c r="A30" s="4" t="s">
        <v>219</v>
      </c>
      <c r="B30" s="5"/>
      <c r="C30" s="5"/>
      <c r="D30" s="5"/>
      <c r="E30" s="5"/>
      <c r="F30" s="5"/>
      <c r="G30" s="22"/>
      <c r="H30" s="22"/>
      <c r="I30" s="22"/>
      <c r="J30" s="22"/>
      <c r="K30" s="22"/>
      <c r="L30" s="22"/>
      <c r="M30" s="22"/>
      <c r="N30" s="22"/>
      <c r="O30" s="22">
        <v>161969</v>
      </c>
      <c r="P30" s="22">
        <f aca="true" t="shared" si="4" ref="P30:BE30">SUM(P31:P50)</f>
        <v>309328</v>
      </c>
      <c r="Q30" s="22">
        <f t="shared" si="4"/>
        <v>140717</v>
      </c>
      <c r="R30" s="22">
        <f t="shared" si="4"/>
        <v>274359</v>
      </c>
      <c r="S30" s="22">
        <f t="shared" si="4"/>
        <v>424608</v>
      </c>
      <c r="T30" s="22">
        <f t="shared" si="4"/>
        <v>567062</v>
      </c>
      <c r="U30" s="22">
        <f t="shared" si="4"/>
        <v>632435</v>
      </c>
      <c r="V30" s="22">
        <f t="shared" si="4"/>
        <v>749346</v>
      </c>
      <c r="W30" s="22">
        <f t="shared" si="4"/>
        <v>1139454</v>
      </c>
      <c r="X30" s="22">
        <f t="shared" si="4"/>
        <v>1246112</v>
      </c>
      <c r="Y30" s="22">
        <f t="shared" si="4"/>
        <v>1110126</v>
      </c>
      <c r="Z30" s="22">
        <f t="shared" si="4"/>
        <v>1621553</v>
      </c>
      <c r="AA30" s="22">
        <f t="shared" si="4"/>
        <v>2157487</v>
      </c>
      <c r="AB30" s="22">
        <f t="shared" si="4"/>
        <v>2726198</v>
      </c>
      <c r="AC30" s="22">
        <f t="shared" si="4"/>
        <v>3426749</v>
      </c>
      <c r="AD30" s="22">
        <f t="shared" si="4"/>
        <v>5128710</v>
      </c>
      <c r="AE30" s="22">
        <f t="shared" si="4"/>
        <v>7225956</v>
      </c>
      <c r="AF30" s="22">
        <f t="shared" si="4"/>
        <v>6477756</v>
      </c>
      <c r="AG30" s="22">
        <f t="shared" si="4"/>
        <v>7015859</v>
      </c>
      <c r="AH30" s="22">
        <f t="shared" si="4"/>
        <v>7043696</v>
      </c>
      <c r="AI30" s="22">
        <f t="shared" si="4"/>
        <v>7347907</v>
      </c>
      <c r="AJ30" s="22">
        <f t="shared" si="4"/>
        <v>8160704</v>
      </c>
      <c r="AK30" s="22">
        <f t="shared" si="4"/>
        <v>9642214</v>
      </c>
      <c r="AL30" s="22">
        <f t="shared" si="4"/>
        <v>10842383</v>
      </c>
      <c r="AM30" s="22">
        <f t="shared" si="4"/>
        <v>11525614</v>
      </c>
      <c r="AN30" s="22">
        <f t="shared" si="4"/>
        <v>12152622</v>
      </c>
      <c r="AO30" s="22">
        <f t="shared" si="4"/>
        <v>12853601</v>
      </c>
      <c r="AP30" s="22">
        <f t="shared" si="4"/>
        <v>13741447</v>
      </c>
      <c r="AQ30" s="22">
        <f t="shared" si="4"/>
        <v>14409689</v>
      </c>
      <c r="AR30" s="22">
        <f t="shared" si="4"/>
        <v>15230704</v>
      </c>
      <c r="AS30" s="22">
        <f t="shared" si="4"/>
        <v>16616595</v>
      </c>
      <c r="AT30" s="22">
        <f t="shared" si="4"/>
        <v>17513541</v>
      </c>
      <c r="AU30" s="22">
        <f t="shared" si="4"/>
        <v>19141627</v>
      </c>
      <c r="AV30" s="22">
        <f t="shared" si="4"/>
        <v>20890923</v>
      </c>
      <c r="AW30" s="22">
        <f t="shared" si="4"/>
        <v>22326897</v>
      </c>
      <c r="AX30" s="22">
        <f t="shared" si="4"/>
        <v>23959958</v>
      </c>
      <c r="AY30" s="22">
        <f t="shared" si="4"/>
        <v>24914710</v>
      </c>
      <c r="AZ30" s="22">
        <f t="shared" si="4"/>
        <v>25875438</v>
      </c>
      <c r="BA30" s="22">
        <f t="shared" si="4"/>
        <v>26773196</v>
      </c>
      <c r="BB30" s="22">
        <f t="shared" si="4"/>
        <v>26111219</v>
      </c>
      <c r="BC30" s="23">
        <f t="shared" si="4"/>
        <v>25565940</v>
      </c>
      <c r="BD30" s="22">
        <f t="shared" si="4"/>
        <v>25949936</v>
      </c>
      <c r="BE30" s="22">
        <f t="shared" si="4"/>
        <v>32127286</v>
      </c>
      <c r="BF30" s="22">
        <f>SUM(BF31:BF50)</f>
        <v>31693393</v>
      </c>
      <c r="BG30" s="22">
        <f aca="true" t="shared" si="5" ref="BG30:BM30">SUM(BG31:BG50)</f>
        <v>26497562</v>
      </c>
      <c r="BH30" s="22">
        <f t="shared" si="5"/>
        <v>22837657</v>
      </c>
      <c r="BI30" s="22">
        <f t="shared" si="5"/>
        <v>20310199</v>
      </c>
      <c r="BJ30" s="22">
        <f t="shared" si="5"/>
        <v>19434795</v>
      </c>
      <c r="BK30" s="22">
        <f t="shared" si="5"/>
        <v>18504417</v>
      </c>
      <c r="BL30" s="22">
        <f t="shared" si="5"/>
        <v>17672901</v>
      </c>
      <c r="BM30" s="22">
        <f t="shared" si="5"/>
        <v>16920492</v>
      </c>
      <c r="BN30" s="11"/>
    </row>
    <row r="31" spans="1:66" ht="21" customHeight="1">
      <c r="A31" s="5"/>
      <c r="B31" s="12"/>
      <c r="C31" s="5" t="s">
        <v>220</v>
      </c>
      <c r="D31" s="5"/>
      <c r="E31" s="5"/>
      <c r="F31" s="5"/>
      <c r="G31" s="24"/>
      <c r="H31" s="24"/>
      <c r="I31" s="24"/>
      <c r="J31" s="24"/>
      <c r="K31" s="24"/>
      <c r="L31" s="24"/>
      <c r="M31" s="24"/>
      <c r="N31" s="24"/>
      <c r="O31" s="24"/>
      <c r="P31" s="24"/>
      <c r="Q31" s="24"/>
      <c r="R31" s="24"/>
      <c r="S31" s="24"/>
      <c r="T31" s="24"/>
      <c r="U31" s="24"/>
      <c r="V31" s="24">
        <v>0</v>
      </c>
      <c r="W31" s="24">
        <v>300000</v>
      </c>
      <c r="X31" s="24">
        <v>300000</v>
      </c>
      <c r="Y31" s="24">
        <v>150000</v>
      </c>
      <c r="Z31" s="24">
        <v>500000</v>
      </c>
      <c r="AA31" s="24">
        <v>800000</v>
      </c>
      <c r="AB31" s="6">
        <v>950000</v>
      </c>
      <c r="AC31" s="6">
        <v>1250000</v>
      </c>
      <c r="AD31" s="24">
        <v>2223800</v>
      </c>
      <c r="AE31" s="24">
        <v>3491737</v>
      </c>
      <c r="AF31" s="24">
        <v>1590987</v>
      </c>
      <c r="AG31" s="24">
        <v>1582280</v>
      </c>
      <c r="AH31" s="24">
        <v>803986</v>
      </c>
      <c r="AI31" s="24">
        <v>345990</v>
      </c>
      <c r="AJ31" s="13">
        <v>14673</v>
      </c>
      <c r="AK31" s="24"/>
      <c r="AL31" s="24"/>
      <c r="AM31" s="5"/>
      <c r="AN31" s="5"/>
      <c r="AO31" s="5"/>
      <c r="AP31" s="5"/>
      <c r="AQ31" s="5"/>
      <c r="AR31" s="5"/>
      <c r="AS31" s="6"/>
      <c r="AT31" s="6"/>
      <c r="AU31" s="6"/>
      <c r="AV31" s="6"/>
      <c r="AW31" s="24"/>
      <c r="AX31" s="24"/>
      <c r="AY31" s="24"/>
      <c r="AZ31" s="24"/>
      <c r="BA31" s="24"/>
      <c r="BB31" s="24"/>
      <c r="BC31" s="25"/>
      <c r="BD31" s="24"/>
      <c r="BE31" s="24"/>
      <c r="BF31" s="24"/>
      <c r="BG31" s="24"/>
      <c r="BH31" s="24"/>
      <c r="BI31" s="24"/>
      <c r="BJ31" s="24"/>
      <c r="BK31" s="24"/>
      <c r="BL31" s="24"/>
      <c r="BM31" s="24"/>
      <c r="BN31" s="11"/>
    </row>
    <row r="32" spans="1:66" ht="21" customHeight="1">
      <c r="A32" s="5"/>
      <c r="B32" s="12"/>
      <c r="C32" s="5" t="s">
        <v>221</v>
      </c>
      <c r="D32" s="5"/>
      <c r="E32" s="5"/>
      <c r="F32" s="5"/>
      <c r="G32" s="24"/>
      <c r="H32" s="24"/>
      <c r="I32" s="24"/>
      <c r="J32" s="24"/>
      <c r="K32" s="24"/>
      <c r="L32" s="24"/>
      <c r="M32" s="24"/>
      <c r="N32" s="24"/>
      <c r="O32" s="24"/>
      <c r="P32" s="24"/>
      <c r="Q32" s="24"/>
      <c r="R32" s="24"/>
      <c r="S32" s="24"/>
      <c r="T32" s="24"/>
      <c r="U32" s="24"/>
      <c r="V32" s="24"/>
      <c r="W32" s="24"/>
      <c r="X32" s="24"/>
      <c r="Y32" s="24"/>
      <c r="Z32" s="24"/>
      <c r="AA32" s="24"/>
      <c r="AB32" s="6"/>
      <c r="AC32" s="6"/>
      <c r="AD32" s="24"/>
      <c r="AE32" s="24"/>
      <c r="AF32" s="24"/>
      <c r="AG32" s="24"/>
      <c r="AH32" s="24"/>
      <c r="AI32" s="24"/>
      <c r="AJ32" s="13"/>
      <c r="AK32" s="24"/>
      <c r="AL32" s="24"/>
      <c r="AM32" s="5"/>
      <c r="AN32" s="5"/>
      <c r="AO32" s="5"/>
      <c r="AP32" s="5"/>
      <c r="AQ32" s="5"/>
      <c r="AR32" s="5"/>
      <c r="AS32" s="6"/>
      <c r="AT32" s="6"/>
      <c r="AU32" s="6"/>
      <c r="AV32" s="6"/>
      <c r="AW32" s="24"/>
      <c r="AX32" s="24"/>
      <c r="AY32" s="24"/>
      <c r="AZ32" s="24"/>
      <c r="BA32" s="24"/>
      <c r="BB32" s="24"/>
      <c r="BC32" s="25"/>
      <c r="BD32" s="24"/>
      <c r="BE32" s="24">
        <v>5949874</v>
      </c>
      <c r="BF32" s="24">
        <v>5627164</v>
      </c>
      <c r="BG32" s="24">
        <v>4546115</v>
      </c>
      <c r="BH32" s="24">
        <v>1841748</v>
      </c>
      <c r="BI32" s="24"/>
      <c r="BJ32" s="24"/>
      <c r="BK32" s="24"/>
      <c r="BL32" s="24"/>
      <c r="BM32" s="24"/>
      <c r="BN32" s="11"/>
    </row>
    <row r="33" spans="1:66" ht="21" customHeight="1">
      <c r="A33" s="5"/>
      <c r="B33" s="12"/>
      <c r="C33" s="5" t="s">
        <v>222</v>
      </c>
      <c r="D33" s="5"/>
      <c r="E33" s="5"/>
      <c r="F33" s="5"/>
      <c r="G33" s="24"/>
      <c r="H33" s="24"/>
      <c r="I33" s="24"/>
      <c r="J33" s="24"/>
      <c r="K33" s="24"/>
      <c r="L33" s="24"/>
      <c r="M33" s="24"/>
      <c r="N33" s="24"/>
      <c r="O33" s="24"/>
      <c r="P33" s="24"/>
      <c r="Q33" s="24"/>
      <c r="R33" s="24">
        <v>0</v>
      </c>
      <c r="S33" s="24">
        <v>55000</v>
      </c>
      <c r="T33" s="6">
        <v>65000</v>
      </c>
      <c r="U33" s="6">
        <v>65000</v>
      </c>
      <c r="V33" s="6">
        <v>75000</v>
      </c>
      <c r="W33" s="6">
        <v>80000</v>
      </c>
      <c r="X33" s="6">
        <v>95000</v>
      </c>
      <c r="Y33" s="6">
        <v>88350</v>
      </c>
      <c r="Z33" s="6">
        <v>118350</v>
      </c>
      <c r="AA33" s="6">
        <v>314371</v>
      </c>
      <c r="AB33" s="6">
        <v>542114</v>
      </c>
      <c r="AC33" s="6">
        <v>796477</v>
      </c>
      <c r="AD33" s="24">
        <v>1109284</v>
      </c>
      <c r="AE33" s="24">
        <v>1535030</v>
      </c>
      <c r="AF33" s="24">
        <v>2307586</v>
      </c>
      <c r="AG33" s="24">
        <v>2815085</v>
      </c>
      <c r="AH33" s="24">
        <v>3238612</v>
      </c>
      <c r="AI33" s="24">
        <v>3669846</v>
      </c>
      <c r="AJ33" s="6">
        <v>4171046</v>
      </c>
      <c r="AK33" s="6">
        <v>4877788</v>
      </c>
      <c r="AL33" s="6">
        <v>5431819</v>
      </c>
      <c r="AM33" s="6">
        <v>5953436</v>
      </c>
      <c r="AN33" s="6">
        <v>6285741</v>
      </c>
      <c r="AO33" s="6">
        <v>6476921</v>
      </c>
      <c r="AP33" s="6">
        <v>6931881</v>
      </c>
      <c r="AQ33" s="6">
        <v>7065706</v>
      </c>
      <c r="AR33" s="6">
        <v>7204898</v>
      </c>
      <c r="AS33" s="6">
        <v>7426871</v>
      </c>
      <c r="AT33" s="6">
        <v>7897494</v>
      </c>
      <c r="AU33" s="6">
        <v>8412293</v>
      </c>
      <c r="AV33" s="6">
        <v>8861414</v>
      </c>
      <c r="AW33" s="6">
        <v>9274996</v>
      </c>
      <c r="AX33" s="6">
        <v>9848712</v>
      </c>
      <c r="AY33" s="6">
        <v>10671027</v>
      </c>
      <c r="AZ33" s="6">
        <v>11266770</v>
      </c>
      <c r="BA33" s="6">
        <v>11508351</v>
      </c>
      <c r="BB33" s="6">
        <v>10942535</v>
      </c>
      <c r="BC33" s="7">
        <v>10441053</v>
      </c>
      <c r="BD33" s="6">
        <v>10810455</v>
      </c>
      <c r="BE33" s="14">
        <v>10568159</v>
      </c>
      <c r="BF33" s="6">
        <v>10276811</v>
      </c>
      <c r="BG33" s="6">
        <v>9115545</v>
      </c>
      <c r="BH33" s="6">
        <v>8915100</v>
      </c>
      <c r="BI33" s="6">
        <v>8235751</v>
      </c>
      <c r="BJ33" s="6">
        <v>7517128</v>
      </c>
      <c r="BK33" s="6">
        <v>7022366</v>
      </c>
      <c r="BL33" s="6">
        <v>6366451</v>
      </c>
      <c r="BM33" s="6">
        <v>5635860</v>
      </c>
      <c r="BN33" s="11"/>
    </row>
    <row r="34" spans="1:66" ht="21" customHeight="1">
      <c r="A34" s="5"/>
      <c r="B34" s="12"/>
      <c r="C34" s="5" t="s">
        <v>223</v>
      </c>
      <c r="D34" s="5"/>
      <c r="E34" s="5"/>
      <c r="F34" s="5"/>
      <c r="G34" s="24"/>
      <c r="H34" s="24"/>
      <c r="I34" s="24"/>
      <c r="J34" s="24"/>
      <c r="K34" s="24"/>
      <c r="L34" s="24"/>
      <c r="M34" s="24"/>
      <c r="N34" s="24"/>
      <c r="O34" s="24">
        <v>5000</v>
      </c>
      <c r="P34" s="6">
        <v>17577</v>
      </c>
      <c r="Q34" s="24">
        <v>28519</v>
      </c>
      <c r="R34" s="24">
        <v>36717</v>
      </c>
      <c r="S34" s="24">
        <v>50079</v>
      </c>
      <c r="T34" s="24">
        <v>58869</v>
      </c>
      <c r="U34" s="24">
        <v>67002</v>
      </c>
      <c r="V34" s="24">
        <v>105022</v>
      </c>
      <c r="W34" s="24">
        <v>131084</v>
      </c>
      <c r="X34" s="24">
        <v>152581</v>
      </c>
      <c r="Y34" s="6">
        <v>169364</v>
      </c>
      <c r="Z34" s="6">
        <v>176471</v>
      </c>
      <c r="AA34" s="6">
        <v>191486</v>
      </c>
      <c r="AB34" s="6">
        <v>228794</v>
      </c>
      <c r="AC34" s="6">
        <v>299525</v>
      </c>
      <c r="AD34" s="24">
        <v>285431</v>
      </c>
      <c r="AE34" s="24">
        <v>334260</v>
      </c>
      <c r="AF34" s="24">
        <v>343757</v>
      </c>
      <c r="AG34" s="24">
        <v>321717</v>
      </c>
      <c r="AH34" s="24">
        <v>350518</v>
      </c>
      <c r="AI34" s="24">
        <v>367997</v>
      </c>
      <c r="AJ34" s="6">
        <v>387204</v>
      </c>
      <c r="AK34" s="6">
        <v>372630</v>
      </c>
      <c r="AL34" s="6">
        <v>394891</v>
      </c>
      <c r="AM34" s="6">
        <v>409133</v>
      </c>
      <c r="AN34" s="6">
        <v>441147</v>
      </c>
      <c r="AO34" s="6">
        <v>579672</v>
      </c>
      <c r="AP34" s="6">
        <v>821304</v>
      </c>
      <c r="AQ34" s="6">
        <v>486210</v>
      </c>
      <c r="AR34" s="6">
        <v>492711</v>
      </c>
      <c r="AS34" s="6">
        <v>499800</v>
      </c>
      <c r="AT34" s="6">
        <v>555384</v>
      </c>
      <c r="AU34" s="6">
        <v>588160</v>
      </c>
      <c r="AV34" s="6">
        <v>592454</v>
      </c>
      <c r="AW34" s="6">
        <v>603924</v>
      </c>
      <c r="AX34" s="6">
        <v>609287</v>
      </c>
      <c r="AY34" s="6">
        <v>628819</v>
      </c>
      <c r="AZ34" s="6">
        <v>673780</v>
      </c>
      <c r="BA34" s="6">
        <v>940612</v>
      </c>
      <c r="BB34" s="6">
        <v>902989</v>
      </c>
      <c r="BC34" s="7">
        <v>704751</v>
      </c>
      <c r="BD34" s="6">
        <v>639337</v>
      </c>
      <c r="BE34" s="14">
        <v>643190</v>
      </c>
      <c r="BF34" s="6">
        <v>574529</v>
      </c>
      <c r="BG34" s="6">
        <v>501671</v>
      </c>
      <c r="BH34" s="6">
        <v>1218853</v>
      </c>
      <c r="BI34" s="6">
        <v>2014578</v>
      </c>
      <c r="BJ34" s="6">
        <v>2250349</v>
      </c>
      <c r="BK34" s="6">
        <v>2008344</v>
      </c>
      <c r="BL34" s="6">
        <v>1632225</v>
      </c>
      <c r="BM34" s="6">
        <v>1840543</v>
      </c>
      <c r="BN34" s="11"/>
    </row>
    <row r="35" spans="1:66" ht="21" customHeight="1">
      <c r="A35" s="5"/>
      <c r="B35" s="12"/>
      <c r="C35" s="5" t="s">
        <v>224</v>
      </c>
      <c r="D35" s="5"/>
      <c r="E35" s="5"/>
      <c r="F35" s="5"/>
      <c r="G35" s="24"/>
      <c r="H35" s="24"/>
      <c r="I35" s="24"/>
      <c r="J35" s="24"/>
      <c r="K35" s="24"/>
      <c r="L35" s="24"/>
      <c r="M35" s="24"/>
      <c r="N35" s="24"/>
      <c r="O35" s="24">
        <v>40000</v>
      </c>
      <c r="P35" s="24">
        <v>49667</v>
      </c>
      <c r="Q35" s="24">
        <v>91189</v>
      </c>
      <c r="R35" s="24">
        <v>166983</v>
      </c>
      <c r="S35" s="24">
        <v>245658</v>
      </c>
      <c r="T35" s="24">
        <v>354124</v>
      </c>
      <c r="U35" s="24">
        <v>429091</v>
      </c>
      <c r="V35" s="6">
        <v>497534</v>
      </c>
      <c r="W35" s="6">
        <v>573323</v>
      </c>
      <c r="X35" s="6">
        <v>660905</v>
      </c>
      <c r="Y35" s="6">
        <v>670398</v>
      </c>
      <c r="Z35" s="6">
        <v>798979</v>
      </c>
      <c r="AA35" s="6">
        <v>834735</v>
      </c>
      <c r="AB35" s="6">
        <v>986041</v>
      </c>
      <c r="AC35" s="6">
        <v>1056428</v>
      </c>
      <c r="AD35" s="24">
        <v>1229073</v>
      </c>
      <c r="AE35" s="24">
        <v>1471279</v>
      </c>
      <c r="AF35" s="24">
        <v>1709457</v>
      </c>
      <c r="AG35" s="24">
        <v>1786942</v>
      </c>
      <c r="AH35" s="24">
        <v>2101436</v>
      </c>
      <c r="AI35" s="24">
        <v>2367957</v>
      </c>
      <c r="AJ35" s="6">
        <v>2943407</v>
      </c>
      <c r="AK35" s="6">
        <v>3646953</v>
      </c>
      <c r="AL35" s="6">
        <v>4250732</v>
      </c>
      <c r="AM35" s="6">
        <v>4341532</v>
      </c>
      <c r="AN35" s="6">
        <v>4729437</v>
      </c>
      <c r="AO35" s="6">
        <v>5025933</v>
      </c>
      <c r="AP35" s="6">
        <v>5307749</v>
      </c>
      <c r="AQ35" s="6">
        <v>5643647</v>
      </c>
      <c r="AR35" s="6">
        <v>6091481</v>
      </c>
      <c r="AS35" s="6">
        <v>7008206</v>
      </c>
      <c r="AT35" s="6">
        <v>6719341</v>
      </c>
      <c r="AU35" s="6">
        <v>7248511</v>
      </c>
      <c r="AV35" s="6">
        <v>8206392</v>
      </c>
      <c r="AW35" s="6">
        <v>9053058</v>
      </c>
      <c r="AX35" s="6">
        <v>9581648</v>
      </c>
      <c r="AY35" s="6">
        <v>9708164</v>
      </c>
      <c r="AZ35" s="6">
        <v>10552948</v>
      </c>
      <c r="BA35" s="6">
        <v>10936117</v>
      </c>
      <c r="BB35" s="6">
        <v>10803330</v>
      </c>
      <c r="BC35" s="7">
        <v>9950369</v>
      </c>
      <c r="BD35" s="6">
        <v>9956000</v>
      </c>
      <c r="BE35" s="14">
        <v>10480935</v>
      </c>
      <c r="BF35" s="6">
        <v>10721495</v>
      </c>
      <c r="BG35" s="6">
        <v>8651551</v>
      </c>
      <c r="BH35" s="6">
        <v>7795962</v>
      </c>
      <c r="BI35" s="6">
        <v>7373119</v>
      </c>
      <c r="BJ35" s="6">
        <v>7363651</v>
      </c>
      <c r="BK35" s="6">
        <v>7242531</v>
      </c>
      <c r="BL35" s="6">
        <v>7839793</v>
      </c>
      <c r="BM35" s="6">
        <v>7818811</v>
      </c>
      <c r="BN35" s="11"/>
    </row>
    <row r="36" spans="1:66" ht="21" customHeight="1">
      <c r="A36" s="5"/>
      <c r="B36" s="12"/>
      <c r="C36" s="5" t="s">
        <v>225</v>
      </c>
      <c r="D36" s="5"/>
      <c r="E36" s="5"/>
      <c r="F36" s="5"/>
      <c r="G36" s="24"/>
      <c r="H36" s="24"/>
      <c r="I36" s="24"/>
      <c r="J36" s="24"/>
      <c r="K36" s="24"/>
      <c r="L36" s="24"/>
      <c r="M36" s="24"/>
      <c r="N36" s="24"/>
      <c r="O36" s="24"/>
      <c r="P36" s="24"/>
      <c r="Q36" s="24"/>
      <c r="R36" s="24"/>
      <c r="S36" s="24"/>
      <c r="T36" s="24"/>
      <c r="U36" s="24"/>
      <c r="V36" s="24"/>
      <c r="W36" s="24"/>
      <c r="X36" s="24"/>
      <c r="Y36" s="24"/>
      <c r="Z36" s="24"/>
      <c r="AA36" s="24"/>
      <c r="AB36" s="24"/>
      <c r="AC36" s="24"/>
      <c r="AD36" s="24">
        <v>36090</v>
      </c>
      <c r="AE36" s="24">
        <v>81871</v>
      </c>
      <c r="AF36" s="24">
        <v>116629</v>
      </c>
      <c r="AG36" s="24">
        <v>129719</v>
      </c>
      <c r="AH36" s="24">
        <v>138095</v>
      </c>
      <c r="AI36" s="24">
        <v>148947</v>
      </c>
      <c r="AJ36" s="6">
        <v>163483</v>
      </c>
      <c r="AK36" s="6">
        <v>169141</v>
      </c>
      <c r="AL36" s="6">
        <v>170643</v>
      </c>
      <c r="AM36" s="6">
        <v>173943</v>
      </c>
      <c r="AN36" s="6">
        <v>169297</v>
      </c>
      <c r="AO36" s="6">
        <v>177658</v>
      </c>
      <c r="AP36" s="6">
        <v>177658</v>
      </c>
      <c r="AQ36" s="6">
        <v>177658</v>
      </c>
      <c r="AR36" s="6">
        <v>182772</v>
      </c>
      <c r="AS36" s="6">
        <v>182268</v>
      </c>
      <c r="AT36" s="6">
        <v>186085</v>
      </c>
      <c r="AU36" s="6">
        <v>235147</v>
      </c>
      <c r="AV36" s="6">
        <v>253836</v>
      </c>
      <c r="AW36" s="6">
        <v>264778</v>
      </c>
      <c r="AX36" s="6">
        <v>299911</v>
      </c>
      <c r="AY36" s="6">
        <v>314542</v>
      </c>
      <c r="AZ36" s="6">
        <v>381399</v>
      </c>
      <c r="BA36" s="6">
        <v>460653</v>
      </c>
      <c r="BB36" s="6">
        <v>463198</v>
      </c>
      <c r="BC36" s="7">
        <v>423772</v>
      </c>
      <c r="BD36" s="6">
        <v>364572</v>
      </c>
      <c r="BE36" s="14">
        <v>326956</v>
      </c>
      <c r="BF36" s="6">
        <v>0</v>
      </c>
      <c r="BG36" s="6"/>
      <c r="BH36" s="6"/>
      <c r="BI36" s="6"/>
      <c r="BJ36" s="6"/>
      <c r="BK36" s="6"/>
      <c r="BL36" s="6"/>
      <c r="BM36" s="6"/>
      <c r="BN36" s="11"/>
    </row>
    <row r="37" spans="1:66" ht="21" customHeight="1">
      <c r="A37" s="5"/>
      <c r="B37" s="12"/>
      <c r="C37" s="5" t="s">
        <v>226</v>
      </c>
      <c r="D37" s="5"/>
      <c r="E37" s="5"/>
      <c r="F37" s="5"/>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v>136124</v>
      </c>
      <c r="AG37" s="24">
        <v>146666</v>
      </c>
      <c r="AH37" s="24">
        <v>168014</v>
      </c>
      <c r="AI37" s="24">
        <v>250511</v>
      </c>
      <c r="AJ37" s="6">
        <v>290058</v>
      </c>
      <c r="AK37" s="6">
        <v>353328</v>
      </c>
      <c r="AL37" s="6">
        <v>372607</v>
      </c>
      <c r="AM37" s="6">
        <v>434150</v>
      </c>
      <c r="AN37" s="6">
        <v>447792</v>
      </c>
      <c r="AO37" s="6">
        <v>513542</v>
      </c>
      <c r="AP37" s="6">
        <v>424178</v>
      </c>
      <c r="AQ37" s="6">
        <v>439958</v>
      </c>
      <c r="AR37" s="6">
        <v>449715</v>
      </c>
      <c r="AS37" s="6">
        <v>493344</v>
      </c>
      <c r="AT37" s="6">
        <v>702677</v>
      </c>
      <c r="AU37" s="6">
        <v>741867</v>
      </c>
      <c r="AV37" s="6">
        <v>739865</v>
      </c>
      <c r="AW37" s="6">
        <v>766678</v>
      </c>
      <c r="AX37" s="6">
        <v>1105279</v>
      </c>
      <c r="AY37" s="6">
        <v>1119003</v>
      </c>
      <c r="AZ37" s="6">
        <v>1160484</v>
      </c>
      <c r="BA37" s="6">
        <v>1133161</v>
      </c>
      <c r="BB37" s="6">
        <v>1287344</v>
      </c>
      <c r="BC37" s="7">
        <v>1183667</v>
      </c>
      <c r="BD37" s="6">
        <v>1093856</v>
      </c>
      <c r="BE37" s="14">
        <v>1077059</v>
      </c>
      <c r="BF37" s="6">
        <v>1061566</v>
      </c>
      <c r="BG37" s="6">
        <v>999217</v>
      </c>
      <c r="BH37" s="6">
        <v>863279</v>
      </c>
      <c r="BI37" s="6">
        <v>859916</v>
      </c>
      <c r="BJ37" s="6">
        <v>805695</v>
      </c>
      <c r="BK37" s="6">
        <v>803260</v>
      </c>
      <c r="BL37" s="6">
        <v>809985</v>
      </c>
      <c r="BM37" s="6">
        <v>662127</v>
      </c>
      <c r="BN37" s="11"/>
    </row>
    <row r="38" spans="1:66" ht="21" customHeight="1">
      <c r="A38" s="5"/>
      <c r="B38" s="12"/>
      <c r="C38" s="5" t="s">
        <v>227</v>
      </c>
      <c r="D38" s="5"/>
      <c r="E38" s="5"/>
      <c r="F38" s="5"/>
      <c r="G38" s="24"/>
      <c r="H38" s="24"/>
      <c r="I38" s="24"/>
      <c r="J38" s="24"/>
      <c r="K38" s="24"/>
      <c r="L38" s="24"/>
      <c r="M38" s="24"/>
      <c r="N38" s="24"/>
      <c r="O38" s="24"/>
      <c r="P38" s="24"/>
      <c r="Q38" s="24"/>
      <c r="R38" s="24"/>
      <c r="S38" s="24"/>
      <c r="T38" s="24"/>
      <c r="U38" s="24"/>
      <c r="V38" s="24"/>
      <c r="W38" s="24"/>
      <c r="X38" s="24"/>
      <c r="Y38" s="24"/>
      <c r="Z38" s="24"/>
      <c r="AA38" s="24"/>
      <c r="AB38" s="24"/>
      <c r="AC38" s="24">
        <v>0</v>
      </c>
      <c r="AD38" s="24">
        <v>30800</v>
      </c>
      <c r="AE38" s="24">
        <v>38500</v>
      </c>
      <c r="AF38" s="24"/>
      <c r="AG38" s="24"/>
      <c r="AH38" s="24"/>
      <c r="AI38" s="24"/>
      <c r="AJ38" s="24"/>
      <c r="AK38" s="24"/>
      <c r="AL38" s="24"/>
      <c r="AM38" s="5"/>
      <c r="AN38" s="5"/>
      <c r="AO38" s="5"/>
      <c r="AP38" s="5"/>
      <c r="AQ38" s="5"/>
      <c r="AR38" s="5"/>
      <c r="AS38" s="6"/>
      <c r="AT38" s="6"/>
      <c r="AU38" s="6"/>
      <c r="AV38" s="6"/>
      <c r="AW38" s="24"/>
      <c r="AX38" s="24"/>
      <c r="AY38" s="6"/>
      <c r="AZ38" s="6"/>
      <c r="BA38" s="6"/>
      <c r="BB38" s="6"/>
      <c r="BC38" s="7"/>
      <c r="BD38" s="6"/>
      <c r="BE38" s="14"/>
      <c r="BF38" s="6"/>
      <c r="BG38" s="6"/>
      <c r="BH38" s="6"/>
      <c r="BI38" s="6"/>
      <c r="BJ38" s="6"/>
      <c r="BK38" s="6"/>
      <c r="BL38" s="6"/>
      <c r="BM38" s="6"/>
      <c r="BN38" s="11"/>
    </row>
    <row r="39" spans="1:66" ht="21" customHeight="1">
      <c r="A39" s="5"/>
      <c r="B39" s="12"/>
      <c r="C39" s="5" t="s">
        <v>228</v>
      </c>
      <c r="D39" s="5"/>
      <c r="E39" s="5"/>
      <c r="F39" s="5"/>
      <c r="G39" s="24"/>
      <c r="H39" s="24"/>
      <c r="I39" s="24"/>
      <c r="J39" s="24"/>
      <c r="K39" s="24"/>
      <c r="L39" s="24"/>
      <c r="M39" s="24"/>
      <c r="N39" s="24"/>
      <c r="O39" s="24"/>
      <c r="P39" s="24"/>
      <c r="Q39" s="24"/>
      <c r="R39" s="24"/>
      <c r="S39" s="24"/>
      <c r="T39" s="24"/>
      <c r="U39" s="24"/>
      <c r="V39" s="24"/>
      <c r="W39" s="24"/>
      <c r="X39" s="24"/>
      <c r="Y39" s="24"/>
      <c r="Z39" s="24"/>
      <c r="AA39" s="24"/>
      <c r="AB39" s="24"/>
      <c r="AC39" s="24"/>
      <c r="AD39" s="24">
        <v>0</v>
      </c>
      <c r="AE39" s="24">
        <v>22950</v>
      </c>
      <c r="AF39" s="24"/>
      <c r="AG39" s="24"/>
      <c r="AH39" s="24"/>
      <c r="AI39" s="24"/>
      <c r="AJ39" s="24"/>
      <c r="AK39" s="24"/>
      <c r="AL39" s="24"/>
      <c r="AM39" s="5"/>
      <c r="AN39" s="5"/>
      <c r="AO39" s="5"/>
      <c r="AP39" s="5"/>
      <c r="AQ39" s="5"/>
      <c r="AR39" s="5"/>
      <c r="AS39" s="6"/>
      <c r="AT39" s="6"/>
      <c r="AU39" s="6"/>
      <c r="AV39" s="6"/>
      <c r="AW39" s="24"/>
      <c r="AX39" s="24"/>
      <c r="AY39" s="6"/>
      <c r="AZ39" s="6"/>
      <c r="BA39" s="6"/>
      <c r="BB39" s="6"/>
      <c r="BC39" s="7"/>
      <c r="BD39" s="6"/>
      <c r="BE39" s="14"/>
      <c r="BF39" s="6"/>
      <c r="BG39" s="6"/>
      <c r="BH39" s="6"/>
      <c r="BI39" s="6"/>
      <c r="BJ39" s="6"/>
      <c r="BK39" s="6"/>
      <c r="BL39" s="6"/>
      <c r="BM39" s="6"/>
      <c r="BN39" s="11"/>
    </row>
    <row r="40" spans="1:66" ht="21" customHeight="1">
      <c r="A40" s="5"/>
      <c r="B40" s="12"/>
      <c r="C40" s="5" t="s">
        <v>229</v>
      </c>
      <c r="D40" s="5"/>
      <c r="E40" s="5"/>
      <c r="F40" s="5"/>
      <c r="G40" s="24"/>
      <c r="H40" s="24"/>
      <c r="I40" s="24"/>
      <c r="J40" s="24"/>
      <c r="K40" s="24"/>
      <c r="L40" s="24"/>
      <c r="M40" s="24"/>
      <c r="N40" s="24"/>
      <c r="O40" s="24"/>
      <c r="P40" s="24"/>
      <c r="Q40" s="24"/>
      <c r="R40" s="24"/>
      <c r="S40" s="24"/>
      <c r="T40" s="24"/>
      <c r="U40" s="24"/>
      <c r="V40" s="24"/>
      <c r="W40" s="24"/>
      <c r="X40" s="24"/>
      <c r="Y40" s="24"/>
      <c r="Z40" s="24"/>
      <c r="AA40" s="24"/>
      <c r="AB40" s="24"/>
      <c r="AC40" s="24"/>
      <c r="AD40" s="24">
        <v>0</v>
      </c>
      <c r="AE40" s="24">
        <v>3113</v>
      </c>
      <c r="AF40" s="24"/>
      <c r="AG40" s="24"/>
      <c r="AH40" s="24"/>
      <c r="AI40" s="24"/>
      <c r="AJ40" s="24"/>
      <c r="AK40" s="24"/>
      <c r="AL40" s="24"/>
      <c r="AM40" s="5"/>
      <c r="AN40" s="5"/>
      <c r="AO40" s="5"/>
      <c r="AP40" s="5"/>
      <c r="AQ40" s="5"/>
      <c r="AR40" s="5"/>
      <c r="AS40" s="6"/>
      <c r="AT40" s="6"/>
      <c r="AU40" s="6"/>
      <c r="AV40" s="6"/>
      <c r="AW40" s="24"/>
      <c r="AX40" s="24"/>
      <c r="AY40" s="6"/>
      <c r="AZ40" s="6"/>
      <c r="BA40" s="6"/>
      <c r="BB40" s="6"/>
      <c r="BC40" s="7"/>
      <c r="BD40" s="6"/>
      <c r="BE40" s="14"/>
      <c r="BF40" s="6"/>
      <c r="BG40" s="6"/>
      <c r="BH40" s="6"/>
      <c r="BI40" s="6"/>
      <c r="BJ40" s="6"/>
      <c r="BK40" s="6"/>
      <c r="BL40" s="6"/>
      <c r="BM40" s="6"/>
      <c r="BN40" s="11"/>
    </row>
    <row r="41" spans="1:66" ht="21" customHeight="1">
      <c r="A41" s="5"/>
      <c r="B41" s="12"/>
      <c r="C41" s="5" t="s">
        <v>230</v>
      </c>
      <c r="D41" s="5"/>
      <c r="E41" s="5"/>
      <c r="F41" s="5"/>
      <c r="G41" s="24"/>
      <c r="H41" s="24"/>
      <c r="I41" s="24"/>
      <c r="J41" s="24"/>
      <c r="K41" s="24"/>
      <c r="L41" s="24"/>
      <c r="M41" s="24"/>
      <c r="N41" s="24"/>
      <c r="O41" s="24"/>
      <c r="P41" s="24"/>
      <c r="Q41" s="24"/>
      <c r="R41" s="24"/>
      <c r="S41" s="24"/>
      <c r="T41" s="24"/>
      <c r="U41" s="24"/>
      <c r="V41" s="24"/>
      <c r="W41" s="24"/>
      <c r="X41" s="24"/>
      <c r="Y41" s="24"/>
      <c r="Z41" s="24"/>
      <c r="AA41" s="24"/>
      <c r="AB41" s="24"/>
      <c r="AC41" s="24">
        <v>14056</v>
      </c>
      <c r="AD41" s="24">
        <v>16208</v>
      </c>
      <c r="AE41" s="24">
        <v>16135</v>
      </c>
      <c r="AF41" s="24"/>
      <c r="AG41" s="24"/>
      <c r="AH41" s="24"/>
      <c r="AI41" s="24"/>
      <c r="AJ41" s="24"/>
      <c r="AK41" s="24"/>
      <c r="AL41" s="24"/>
      <c r="AM41" s="5"/>
      <c r="AN41" s="5"/>
      <c r="AO41" s="5"/>
      <c r="AP41" s="5"/>
      <c r="AQ41" s="5"/>
      <c r="AR41" s="5"/>
      <c r="AS41" s="6"/>
      <c r="AT41" s="6"/>
      <c r="AU41" s="6"/>
      <c r="AV41" s="6"/>
      <c r="AW41" s="24"/>
      <c r="AX41" s="24"/>
      <c r="AY41" s="24"/>
      <c r="AZ41" s="24"/>
      <c r="BA41" s="24"/>
      <c r="BB41" s="24"/>
      <c r="BC41" s="25"/>
      <c r="BD41" s="24"/>
      <c r="BE41" s="24"/>
      <c r="BF41" s="24"/>
      <c r="BG41" s="24"/>
      <c r="BH41" s="24"/>
      <c r="BI41" s="24"/>
      <c r="BJ41" s="24"/>
      <c r="BK41" s="24"/>
      <c r="BL41" s="24"/>
      <c r="BM41" s="24"/>
      <c r="BN41" s="11"/>
    </row>
    <row r="42" spans="1:66" ht="21" customHeight="1">
      <c r="A42" s="5"/>
      <c r="B42" s="12"/>
      <c r="C42" s="5" t="s">
        <v>231</v>
      </c>
      <c r="D42" s="5"/>
      <c r="E42" s="5"/>
      <c r="F42" s="5"/>
      <c r="G42" s="24"/>
      <c r="H42" s="24"/>
      <c r="I42" s="24"/>
      <c r="J42" s="24"/>
      <c r="K42" s="24"/>
      <c r="L42" s="24"/>
      <c r="M42" s="24"/>
      <c r="N42" s="24"/>
      <c r="O42" s="24"/>
      <c r="P42" s="24"/>
      <c r="Q42" s="24"/>
      <c r="R42" s="24"/>
      <c r="S42" s="24"/>
      <c r="T42" s="24"/>
      <c r="U42" s="24"/>
      <c r="V42" s="24"/>
      <c r="W42" s="24"/>
      <c r="X42" s="24"/>
      <c r="Y42" s="24"/>
      <c r="Z42" s="24"/>
      <c r="AA42" s="24"/>
      <c r="AB42" s="24"/>
      <c r="AC42" s="24"/>
      <c r="AD42" s="24">
        <v>75227</v>
      </c>
      <c r="AE42" s="24">
        <v>74938</v>
      </c>
      <c r="AF42" s="24"/>
      <c r="AG42" s="24"/>
      <c r="AH42" s="24"/>
      <c r="AI42" s="24"/>
      <c r="AJ42" s="24"/>
      <c r="AK42" s="24"/>
      <c r="AL42" s="24"/>
      <c r="AM42" s="5"/>
      <c r="AN42" s="5"/>
      <c r="AO42" s="5"/>
      <c r="AP42" s="5"/>
      <c r="AQ42" s="5"/>
      <c r="AR42" s="5"/>
      <c r="AS42" s="6"/>
      <c r="AT42" s="21"/>
      <c r="AU42" s="6"/>
      <c r="AV42" s="6"/>
      <c r="AW42" s="24"/>
      <c r="AX42" s="24"/>
      <c r="AY42" s="24"/>
      <c r="AZ42" s="24"/>
      <c r="BA42" s="24"/>
      <c r="BB42" s="24"/>
      <c r="BC42" s="25"/>
      <c r="BD42" s="24"/>
      <c r="BE42" s="24"/>
      <c r="BF42" s="24"/>
      <c r="BG42" s="24"/>
      <c r="BH42" s="24"/>
      <c r="BI42" s="24"/>
      <c r="BJ42" s="24"/>
      <c r="BK42" s="24"/>
      <c r="BL42" s="24"/>
      <c r="BM42" s="24"/>
      <c r="BN42" s="11"/>
    </row>
    <row r="43" spans="1:66" ht="21" customHeight="1">
      <c r="A43" s="5"/>
      <c r="B43" s="12"/>
      <c r="C43" s="5" t="s">
        <v>232</v>
      </c>
      <c r="D43" s="5"/>
      <c r="E43" s="5"/>
      <c r="F43" s="5"/>
      <c r="G43" s="24"/>
      <c r="H43" s="24"/>
      <c r="I43" s="24"/>
      <c r="J43" s="24"/>
      <c r="K43" s="24"/>
      <c r="L43" s="24"/>
      <c r="M43" s="24"/>
      <c r="N43" s="24"/>
      <c r="O43" s="24"/>
      <c r="P43" s="24"/>
      <c r="Q43" s="24"/>
      <c r="R43" s="24"/>
      <c r="S43" s="24"/>
      <c r="T43" s="24"/>
      <c r="U43" s="24"/>
      <c r="V43" s="24"/>
      <c r="W43" s="24"/>
      <c r="X43" s="24"/>
      <c r="Y43" s="24"/>
      <c r="Z43" s="24"/>
      <c r="AA43" s="24"/>
      <c r="AB43" s="24"/>
      <c r="AC43" s="24"/>
      <c r="AD43" s="24">
        <v>122797</v>
      </c>
      <c r="AE43" s="24">
        <v>156143</v>
      </c>
      <c r="AF43" s="24"/>
      <c r="AG43" s="24"/>
      <c r="AH43" s="24"/>
      <c r="AI43" s="24"/>
      <c r="AJ43" s="24"/>
      <c r="AK43" s="24"/>
      <c r="AL43" s="24"/>
      <c r="AM43" s="5"/>
      <c r="AN43" s="5"/>
      <c r="AO43" s="5"/>
      <c r="AP43" s="5"/>
      <c r="AQ43" s="5"/>
      <c r="AR43" s="5"/>
      <c r="AS43" s="6"/>
      <c r="AT43" s="6"/>
      <c r="AU43" s="6"/>
      <c r="AV43" s="6"/>
      <c r="AW43" s="24"/>
      <c r="AX43" s="24"/>
      <c r="AY43" s="24"/>
      <c r="AZ43" s="24"/>
      <c r="BA43" s="24"/>
      <c r="BB43" s="24"/>
      <c r="BC43" s="25"/>
      <c r="BD43" s="24"/>
      <c r="BE43" s="24"/>
      <c r="BF43" s="24"/>
      <c r="BG43" s="24"/>
      <c r="BH43" s="24"/>
      <c r="BI43" s="24"/>
      <c r="BJ43" s="24"/>
      <c r="BK43" s="24"/>
      <c r="BL43" s="24"/>
      <c r="BM43" s="24"/>
      <c r="BN43" s="11"/>
    </row>
    <row r="44" spans="1:66" ht="21" customHeight="1">
      <c r="A44" s="5"/>
      <c r="B44" s="12"/>
      <c r="C44" s="5" t="s">
        <v>233</v>
      </c>
      <c r="D44" s="5"/>
      <c r="E44" s="5"/>
      <c r="F44" s="5"/>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v>254728</v>
      </c>
      <c r="AG44" s="24">
        <v>212702</v>
      </c>
      <c r="AH44" s="24">
        <v>222170</v>
      </c>
      <c r="AI44" s="24">
        <v>176723</v>
      </c>
      <c r="AJ44" s="13">
        <v>170900</v>
      </c>
      <c r="AK44" s="13">
        <v>202569</v>
      </c>
      <c r="AL44" s="6">
        <v>201886</v>
      </c>
      <c r="AM44" s="6">
        <v>193615</v>
      </c>
      <c r="AN44" s="6">
        <v>61384</v>
      </c>
      <c r="AO44" s="6">
        <v>61061</v>
      </c>
      <c r="AP44" s="6">
        <v>61026</v>
      </c>
      <c r="AQ44" s="5">
        <v>0</v>
      </c>
      <c r="AR44" s="5"/>
      <c r="AS44" s="6"/>
      <c r="AT44" s="6"/>
      <c r="AU44" s="6"/>
      <c r="AV44" s="6"/>
      <c r="AW44" s="24"/>
      <c r="AX44" s="24"/>
      <c r="AY44" s="24"/>
      <c r="AZ44" s="24"/>
      <c r="BA44" s="24"/>
      <c r="BB44" s="24"/>
      <c r="BC44" s="25"/>
      <c r="BD44" s="24"/>
      <c r="BE44" s="24"/>
      <c r="BF44" s="24"/>
      <c r="BG44" s="24"/>
      <c r="BH44" s="24"/>
      <c r="BI44" s="24"/>
      <c r="BJ44" s="24"/>
      <c r="BK44" s="24"/>
      <c r="BL44" s="24"/>
      <c r="BM44" s="24"/>
      <c r="BN44" s="11"/>
    </row>
    <row r="45" spans="1:66" ht="21" customHeight="1">
      <c r="A45" s="5"/>
      <c r="B45" s="12"/>
      <c r="C45" s="5" t="s">
        <v>234</v>
      </c>
      <c r="D45" s="5"/>
      <c r="E45" s="5"/>
      <c r="F45" s="5"/>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5"/>
      <c r="AN45" s="5"/>
      <c r="AO45" s="5"/>
      <c r="AP45" s="13"/>
      <c r="AQ45" s="6">
        <v>525396</v>
      </c>
      <c r="AR45" s="6">
        <v>489498</v>
      </c>
      <c r="AS45" s="6">
        <v>487751</v>
      </c>
      <c r="AT45" s="6">
        <v>516536</v>
      </c>
      <c r="AU45" s="6">
        <v>609457</v>
      </c>
      <c r="AV45" s="6">
        <v>804685</v>
      </c>
      <c r="AW45" s="13">
        <v>834260</v>
      </c>
      <c r="AX45" s="24"/>
      <c r="AY45" s="24"/>
      <c r="AZ45" s="24"/>
      <c r="BA45" s="24"/>
      <c r="BB45" s="24"/>
      <c r="BC45" s="25"/>
      <c r="BD45" s="24"/>
      <c r="BE45" s="24"/>
      <c r="BF45" s="24"/>
      <c r="BG45" s="24"/>
      <c r="BH45" s="24"/>
      <c r="BI45" s="24"/>
      <c r="BJ45" s="24"/>
      <c r="BK45" s="24"/>
      <c r="BL45" s="24"/>
      <c r="BM45" s="24"/>
      <c r="BN45" s="11"/>
    </row>
    <row r="46" spans="1:66" ht="21" customHeight="1">
      <c r="A46" s="5"/>
      <c r="B46" s="12"/>
      <c r="C46" s="5" t="s">
        <v>235</v>
      </c>
      <c r="D46" s="5"/>
      <c r="E46" s="5"/>
      <c r="F46" s="5"/>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5"/>
      <c r="AN46" s="5"/>
      <c r="AO46" s="5"/>
      <c r="AP46" s="6"/>
      <c r="AQ46" s="6"/>
      <c r="AR46" s="6">
        <v>167382</v>
      </c>
      <c r="AS46" s="6">
        <v>349588</v>
      </c>
      <c r="AT46" s="6">
        <v>677281</v>
      </c>
      <c r="AU46" s="6">
        <v>963153</v>
      </c>
      <c r="AV46" s="6">
        <v>1008073</v>
      </c>
      <c r="AW46" s="13">
        <v>1087503</v>
      </c>
      <c r="AX46" s="24"/>
      <c r="AY46" s="24"/>
      <c r="AZ46" s="24"/>
      <c r="BA46" s="24"/>
      <c r="BB46" s="24"/>
      <c r="BC46" s="25"/>
      <c r="BD46" s="24"/>
      <c r="BE46" s="24"/>
      <c r="BF46" s="24"/>
      <c r="BG46" s="24"/>
      <c r="BH46" s="24"/>
      <c r="BI46" s="24"/>
      <c r="BJ46" s="24"/>
      <c r="BK46" s="24"/>
      <c r="BL46" s="24"/>
      <c r="BM46" s="24"/>
      <c r="BN46" s="11"/>
    </row>
    <row r="47" spans="1:66" ht="21" customHeight="1">
      <c r="A47" s="5"/>
      <c r="B47" s="12"/>
      <c r="C47" s="5" t="s">
        <v>236</v>
      </c>
      <c r="D47" s="5"/>
      <c r="E47" s="5"/>
      <c r="F47" s="5"/>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5"/>
      <c r="AN47" s="5"/>
      <c r="AO47" s="5"/>
      <c r="AP47" s="13"/>
      <c r="AQ47" s="6">
        <v>53601</v>
      </c>
      <c r="AR47" s="6">
        <v>135745</v>
      </c>
      <c r="AS47" s="6">
        <v>153231</v>
      </c>
      <c r="AT47" s="6">
        <v>243712</v>
      </c>
      <c r="AU47" s="6">
        <v>327835</v>
      </c>
      <c r="AV47" s="6">
        <v>409000</v>
      </c>
      <c r="AW47" s="13">
        <v>426300</v>
      </c>
      <c r="AX47" s="24"/>
      <c r="AY47" s="24"/>
      <c r="AZ47" s="24"/>
      <c r="BA47" s="24"/>
      <c r="BB47" s="24"/>
      <c r="BC47" s="25"/>
      <c r="BD47" s="24"/>
      <c r="BE47" s="24"/>
      <c r="BF47" s="24"/>
      <c r="BG47" s="24"/>
      <c r="BH47" s="24"/>
      <c r="BI47" s="24"/>
      <c r="BJ47" s="24"/>
      <c r="BK47" s="24"/>
      <c r="BL47" s="24"/>
      <c r="BM47" s="24"/>
      <c r="BN47" s="11"/>
    </row>
    <row r="48" spans="1:66" ht="21" customHeight="1">
      <c r="A48" s="5"/>
      <c r="B48" s="12"/>
      <c r="C48" s="26" t="s">
        <v>237</v>
      </c>
      <c r="D48" s="5"/>
      <c r="E48" s="5"/>
      <c r="F48" s="5"/>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5"/>
      <c r="AN48" s="5"/>
      <c r="AO48" s="5"/>
      <c r="AP48" s="5"/>
      <c r="AQ48" s="6"/>
      <c r="AR48" s="6"/>
      <c r="AS48" s="6"/>
      <c r="AT48" s="6"/>
      <c r="AU48" s="6"/>
      <c r="AV48" s="6"/>
      <c r="AW48" s="6"/>
      <c r="AX48" s="13">
        <v>2499848</v>
      </c>
      <c r="AY48" s="6">
        <v>2457882</v>
      </c>
      <c r="AZ48" s="6">
        <v>1824772</v>
      </c>
      <c r="BA48" s="6">
        <v>1779007</v>
      </c>
      <c r="BB48" s="6">
        <v>1696394</v>
      </c>
      <c r="BC48" s="7">
        <v>2846886</v>
      </c>
      <c r="BD48" s="6">
        <v>3070260</v>
      </c>
      <c r="BE48" s="14">
        <f>3060752+4902</f>
        <v>3065654</v>
      </c>
      <c r="BF48" s="6">
        <v>3416368</v>
      </c>
      <c r="BG48" s="6">
        <v>2668000</v>
      </c>
      <c r="BH48" s="6">
        <v>2188000</v>
      </c>
      <c r="BI48" s="6">
        <v>1812487</v>
      </c>
      <c r="BJ48" s="6">
        <v>1483767</v>
      </c>
      <c r="BK48" s="6">
        <v>1414711</v>
      </c>
      <c r="BL48" s="6">
        <v>1012995</v>
      </c>
      <c r="BM48" s="6">
        <v>952995</v>
      </c>
      <c r="BN48" s="11"/>
    </row>
    <row r="49" spans="1:66" ht="21" customHeight="1">
      <c r="A49" s="5"/>
      <c r="B49" s="12"/>
      <c r="C49" s="5" t="s">
        <v>238</v>
      </c>
      <c r="D49" s="5"/>
      <c r="E49" s="5"/>
      <c r="F49" s="5"/>
      <c r="G49" s="24"/>
      <c r="H49" s="24"/>
      <c r="I49" s="24"/>
      <c r="J49" s="24"/>
      <c r="K49" s="24"/>
      <c r="L49" s="24"/>
      <c r="M49" s="24"/>
      <c r="N49" s="24"/>
      <c r="O49" s="24">
        <v>111969</v>
      </c>
      <c r="P49" s="6">
        <v>240158</v>
      </c>
      <c r="Q49" s="6">
        <v>16800</v>
      </c>
      <c r="R49" s="6">
        <v>51600</v>
      </c>
      <c r="S49" s="24">
        <v>51600</v>
      </c>
      <c r="T49" s="6">
        <v>61860</v>
      </c>
      <c r="U49" s="6">
        <v>69102</v>
      </c>
      <c r="V49" s="6">
        <v>61897</v>
      </c>
      <c r="W49" s="6">
        <v>41956</v>
      </c>
      <c r="X49" s="6">
        <v>22499</v>
      </c>
      <c r="Y49" s="6">
        <v>17916</v>
      </c>
      <c r="Z49" s="6">
        <v>12300</v>
      </c>
      <c r="AA49" s="24">
        <v>0</v>
      </c>
      <c r="AB49" s="24"/>
      <c r="AC49" s="24"/>
      <c r="AD49" s="24"/>
      <c r="AE49" s="24"/>
      <c r="AF49" s="24"/>
      <c r="AG49" s="24"/>
      <c r="AH49" s="24"/>
      <c r="AI49" s="24"/>
      <c r="AJ49" s="6"/>
      <c r="AK49" s="6"/>
      <c r="AL49" s="6"/>
      <c r="AM49" s="6"/>
      <c r="AN49" s="6"/>
      <c r="AO49" s="6"/>
      <c r="AP49" s="6"/>
      <c r="AQ49" s="6"/>
      <c r="AR49" s="6"/>
      <c r="AS49" s="6"/>
      <c r="AT49" s="6"/>
      <c r="AU49" s="6"/>
      <c r="AV49" s="6"/>
      <c r="AW49" s="6"/>
      <c r="AX49" s="6"/>
      <c r="AY49" s="6"/>
      <c r="AZ49" s="6"/>
      <c r="BA49" s="6"/>
      <c r="BB49" s="6"/>
      <c r="BC49" s="7"/>
      <c r="BD49" s="6"/>
      <c r="BE49" s="14"/>
      <c r="BF49" s="6"/>
      <c r="BG49" s="6"/>
      <c r="BH49" s="6"/>
      <c r="BI49" s="6"/>
      <c r="BJ49" s="6"/>
      <c r="BK49" s="6"/>
      <c r="BL49" s="6"/>
      <c r="BM49" s="6"/>
      <c r="BN49" s="11"/>
    </row>
    <row r="50" spans="1:66" ht="21" customHeight="1">
      <c r="A50" s="5"/>
      <c r="B50" s="12"/>
      <c r="C50" s="5" t="s">
        <v>239</v>
      </c>
      <c r="D50" s="5"/>
      <c r="E50" s="5"/>
      <c r="F50" s="5"/>
      <c r="G50" s="24"/>
      <c r="H50" s="24"/>
      <c r="I50" s="24"/>
      <c r="J50" s="24"/>
      <c r="K50" s="24"/>
      <c r="L50" s="24"/>
      <c r="M50" s="24"/>
      <c r="N50" s="24"/>
      <c r="O50" s="24">
        <v>5000</v>
      </c>
      <c r="P50" s="6">
        <v>1926</v>
      </c>
      <c r="Q50" s="6">
        <v>4209</v>
      </c>
      <c r="R50" s="6">
        <v>19059</v>
      </c>
      <c r="S50" s="24">
        <v>22271</v>
      </c>
      <c r="T50" s="24">
        <v>27209</v>
      </c>
      <c r="U50" s="24">
        <v>2240</v>
      </c>
      <c r="V50" s="6">
        <v>9893</v>
      </c>
      <c r="W50" s="6">
        <v>13091</v>
      </c>
      <c r="X50" s="6">
        <v>15127</v>
      </c>
      <c r="Y50" s="6">
        <v>14098</v>
      </c>
      <c r="Z50" s="6">
        <v>15453</v>
      </c>
      <c r="AA50" s="6">
        <v>16895</v>
      </c>
      <c r="AB50" s="6">
        <v>19249</v>
      </c>
      <c r="AC50" s="6">
        <v>10263</v>
      </c>
      <c r="AD50" s="24"/>
      <c r="AE50" s="24"/>
      <c r="AF50" s="24">
        <v>18488</v>
      </c>
      <c r="AG50" s="24">
        <v>20748</v>
      </c>
      <c r="AH50" s="24">
        <v>20865</v>
      </c>
      <c r="AI50" s="24">
        <v>19936</v>
      </c>
      <c r="AJ50" s="6">
        <v>19933</v>
      </c>
      <c r="AK50" s="6">
        <v>19805</v>
      </c>
      <c r="AL50" s="6">
        <v>19805</v>
      </c>
      <c r="AM50" s="6">
        <v>19805</v>
      </c>
      <c r="AN50" s="6">
        <v>17824</v>
      </c>
      <c r="AO50" s="6">
        <v>18814</v>
      </c>
      <c r="AP50" s="6">
        <v>17651</v>
      </c>
      <c r="AQ50" s="6">
        <v>17513</v>
      </c>
      <c r="AR50" s="6">
        <v>16502</v>
      </c>
      <c r="AS50" s="6">
        <v>15536</v>
      </c>
      <c r="AT50" s="6">
        <v>15031</v>
      </c>
      <c r="AU50" s="6">
        <v>15204</v>
      </c>
      <c r="AV50" s="6">
        <v>15204</v>
      </c>
      <c r="AW50" s="6">
        <v>15400</v>
      </c>
      <c r="AX50" s="6">
        <v>15273</v>
      </c>
      <c r="AY50" s="6">
        <v>15273</v>
      </c>
      <c r="AZ50" s="6">
        <v>15285</v>
      </c>
      <c r="BA50" s="6">
        <v>15295</v>
      </c>
      <c r="BB50" s="6">
        <v>15429</v>
      </c>
      <c r="BC50" s="7">
        <v>15442</v>
      </c>
      <c r="BD50" s="6">
        <v>15456</v>
      </c>
      <c r="BE50" s="14">
        <f>10957+4502</f>
        <v>15459</v>
      </c>
      <c r="BF50" s="6">
        <v>15460</v>
      </c>
      <c r="BG50" s="6">
        <v>15463</v>
      </c>
      <c r="BH50" s="6">
        <v>14715</v>
      </c>
      <c r="BI50" s="6">
        <v>14348</v>
      </c>
      <c r="BJ50" s="6">
        <v>14205</v>
      </c>
      <c r="BK50" s="6">
        <v>13205</v>
      </c>
      <c r="BL50" s="6">
        <v>11452</v>
      </c>
      <c r="BM50" s="6">
        <v>10156</v>
      </c>
      <c r="BN50" s="27"/>
    </row>
    <row r="51" spans="1:66" ht="21" customHeight="1">
      <c r="A51" s="5"/>
      <c r="B51" s="5"/>
      <c r="C51" s="5"/>
      <c r="D51" s="5"/>
      <c r="E51" s="5"/>
      <c r="F51" s="5"/>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5"/>
      <c r="AN51" s="5"/>
      <c r="AO51" s="5"/>
      <c r="AP51" s="5"/>
      <c r="AQ51" s="5"/>
      <c r="AR51" s="5"/>
      <c r="AS51" s="6"/>
      <c r="AT51" s="6"/>
      <c r="AU51" s="6"/>
      <c r="AV51" s="6"/>
      <c r="AW51" s="6"/>
      <c r="AX51" s="6"/>
      <c r="AY51" s="6"/>
      <c r="AZ51" s="6"/>
      <c r="BA51" s="6"/>
      <c r="BB51" s="6"/>
      <c r="BC51" s="7"/>
      <c r="BD51" s="6"/>
      <c r="BE51" s="6"/>
      <c r="BF51" s="6"/>
      <c r="BG51" s="6"/>
      <c r="BH51" s="6"/>
      <c r="BI51" s="6"/>
      <c r="BJ51" s="6"/>
      <c r="BK51" s="6"/>
      <c r="BL51" s="6"/>
      <c r="BM51" s="6"/>
      <c r="BN51" s="11"/>
    </row>
    <row r="52" spans="1:66" ht="21" customHeight="1">
      <c r="A52" s="4" t="s">
        <v>240</v>
      </c>
      <c r="B52" s="5"/>
      <c r="C52" s="5"/>
      <c r="D52" s="5"/>
      <c r="E52" s="5"/>
      <c r="F52" s="5"/>
      <c r="G52" s="28">
        <v>692747</v>
      </c>
      <c r="H52" s="28">
        <v>1324600</v>
      </c>
      <c r="I52" s="28">
        <v>795844</v>
      </c>
      <c r="J52" s="28">
        <v>244520</v>
      </c>
      <c r="K52" s="28">
        <v>383651</v>
      </c>
      <c r="L52" s="28">
        <v>543748</v>
      </c>
      <c r="M52" s="28">
        <v>741379</v>
      </c>
      <c r="N52" s="29">
        <v>1848654</v>
      </c>
      <c r="O52" s="28">
        <v>1145574</v>
      </c>
      <c r="P52" s="28">
        <f aca="true" t="shared" si="6" ref="P52:AB52">SUM(P53:P80)</f>
        <v>2170902</v>
      </c>
      <c r="Q52" s="28">
        <f t="shared" si="6"/>
        <v>2327969</v>
      </c>
      <c r="R52" s="28">
        <f t="shared" si="6"/>
        <v>4493144</v>
      </c>
      <c r="S52" s="28">
        <f t="shared" si="6"/>
        <v>6735430</v>
      </c>
      <c r="T52" s="28">
        <f t="shared" si="6"/>
        <v>8424578</v>
      </c>
      <c r="U52" s="28">
        <f t="shared" si="6"/>
        <v>11548502</v>
      </c>
      <c r="V52" s="28">
        <f t="shared" si="6"/>
        <v>15052835</v>
      </c>
      <c r="W52" s="28">
        <f t="shared" si="6"/>
        <v>20287194</v>
      </c>
      <c r="X52" s="28">
        <f t="shared" si="6"/>
        <v>23785011</v>
      </c>
      <c r="Y52" s="28">
        <f t="shared" si="6"/>
        <v>27075577</v>
      </c>
      <c r="Z52" s="28">
        <f t="shared" si="6"/>
        <v>31142655</v>
      </c>
      <c r="AA52" s="28">
        <f t="shared" si="6"/>
        <v>37151120</v>
      </c>
      <c r="AB52" s="28">
        <f t="shared" si="6"/>
        <v>45196161</v>
      </c>
      <c r="AC52" s="28">
        <f aca="true" t="shared" si="7" ref="AC52:BC52">SUM(AC53:AC80)</f>
        <v>73861064</v>
      </c>
      <c r="AD52" s="28">
        <f t="shared" si="7"/>
        <v>67915517</v>
      </c>
      <c r="AE52" s="28">
        <f t="shared" si="7"/>
        <v>81762911</v>
      </c>
      <c r="AF52" s="28">
        <f t="shared" si="7"/>
        <v>103032077</v>
      </c>
      <c r="AG52" s="28">
        <f t="shared" si="7"/>
        <v>120685128</v>
      </c>
      <c r="AH52" s="28">
        <f t="shared" si="7"/>
        <v>134577055</v>
      </c>
      <c r="AI52" s="28">
        <f t="shared" si="7"/>
        <v>152958291</v>
      </c>
      <c r="AJ52" s="28">
        <f t="shared" si="7"/>
        <v>172188529</v>
      </c>
      <c r="AK52" s="28">
        <f t="shared" si="7"/>
        <v>179965557</v>
      </c>
      <c r="AL52" s="28">
        <f t="shared" si="7"/>
        <v>181303683</v>
      </c>
      <c r="AM52" s="28">
        <f t="shared" si="7"/>
        <v>181052271</v>
      </c>
      <c r="AN52" s="28">
        <f t="shared" si="7"/>
        <v>176046880</v>
      </c>
      <c r="AO52" s="28">
        <f t="shared" si="7"/>
        <v>165848143</v>
      </c>
      <c r="AP52" s="28">
        <f t="shared" si="7"/>
        <v>150944903</v>
      </c>
      <c r="AQ52" s="28">
        <f t="shared" si="7"/>
        <v>142025415</v>
      </c>
      <c r="AR52" s="28">
        <f t="shared" si="7"/>
        <v>136605188</v>
      </c>
      <c r="AS52" s="28">
        <f t="shared" si="7"/>
        <v>134848126</v>
      </c>
      <c r="AT52" s="28">
        <f t="shared" si="7"/>
        <v>134281458</v>
      </c>
      <c r="AU52" s="28">
        <f t="shared" si="7"/>
        <v>135234842</v>
      </c>
      <c r="AV52" s="28">
        <f t="shared" si="7"/>
        <v>136700749</v>
      </c>
      <c r="AW52" s="28">
        <f t="shared" si="7"/>
        <v>137134648</v>
      </c>
      <c r="AX52" s="28">
        <f t="shared" si="7"/>
        <v>136521794</v>
      </c>
      <c r="AY52" s="28">
        <f t="shared" si="7"/>
        <v>128632927</v>
      </c>
      <c r="AZ52" s="28">
        <f t="shared" si="7"/>
        <v>123636414</v>
      </c>
      <c r="BA52" s="28">
        <f t="shared" si="7"/>
        <v>123638664</v>
      </c>
      <c r="BB52" s="28">
        <f t="shared" si="7"/>
        <v>124687664</v>
      </c>
      <c r="BC52" s="29">
        <f t="shared" si="7"/>
        <v>131267664</v>
      </c>
      <c r="BD52" s="28">
        <f aca="true" t="shared" si="8" ref="BD52:BM52">SUM(BD53:BD80)</f>
        <v>131641190</v>
      </c>
      <c r="BE52" s="28">
        <f t="shared" si="8"/>
        <v>133097276</v>
      </c>
      <c r="BF52" s="28">
        <f t="shared" si="8"/>
        <v>133540704</v>
      </c>
      <c r="BG52" s="28">
        <f t="shared" si="8"/>
        <v>130704021</v>
      </c>
      <c r="BH52" s="28">
        <f t="shared" si="8"/>
        <v>129539414</v>
      </c>
      <c r="BI52" s="28">
        <f t="shared" si="8"/>
        <v>130510934</v>
      </c>
      <c r="BJ52" s="28">
        <f t="shared" si="8"/>
        <v>130000085</v>
      </c>
      <c r="BK52" s="28">
        <f t="shared" si="8"/>
        <v>120429676</v>
      </c>
      <c r="BL52" s="28">
        <f t="shared" si="8"/>
        <v>124549440</v>
      </c>
      <c r="BM52" s="30">
        <f t="shared" si="8"/>
        <v>130627991</v>
      </c>
      <c r="BN52" s="11"/>
    </row>
    <row r="53" spans="1:66" ht="21" customHeight="1">
      <c r="A53" s="5"/>
      <c r="B53" s="12"/>
      <c r="C53" s="5" t="s">
        <v>241</v>
      </c>
      <c r="D53" s="5"/>
      <c r="E53" s="5"/>
      <c r="F53" s="5"/>
      <c r="G53" s="117">
        <v>51254</v>
      </c>
      <c r="H53" s="117">
        <v>63362</v>
      </c>
      <c r="I53" s="117">
        <v>38848</v>
      </c>
      <c r="J53" s="117">
        <v>180000</v>
      </c>
      <c r="K53" s="117">
        <v>300000</v>
      </c>
      <c r="L53" s="117">
        <v>420000</v>
      </c>
      <c r="M53" s="117">
        <v>470000</v>
      </c>
      <c r="N53" s="7">
        <v>100000</v>
      </c>
      <c r="O53" s="6">
        <v>100000</v>
      </c>
      <c r="P53" s="6">
        <v>145000</v>
      </c>
      <c r="Q53" s="6">
        <v>175000</v>
      </c>
      <c r="R53" s="6">
        <v>0</v>
      </c>
      <c r="S53" s="6">
        <v>100000</v>
      </c>
      <c r="T53" s="6">
        <v>2457465</v>
      </c>
      <c r="U53" s="6">
        <v>4705700</v>
      </c>
      <c r="V53" s="6">
        <v>7061095</v>
      </c>
      <c r="W53" s="6">
        <f>7984000+527270</f>
        <v>8511270</v>
      </c>
      <c r="X53" s="6">
        <f>11412500+384796</f>
        <v>11797296</v>
      </c>
      <c r="Y53" s="6">
        <f>15806000+468577</f>
        <v>16274577</v>
      </c>
      <c r="Z53" s="6">
        <f>20646000+515874</f>
        <v>21161874</v>
      </c>
      <c r="AA53" s="6">
        <f>25698500+579627</f>
        <v>26278127</v>
      </c>
      <c r="AB53" s="6">
        <v>32846916</v>
      </c>
      <c r="AC53" s="6">
        <v>35426302</v>
      </c>
      <c r="AD53" s="6">
        <v>39692412</v>
      </c>
      <c r="AE53" s="6">
        <v>41403831</v>
      </c>
      <c r="AF53" s="6">
        <v>50183221</v>
      </c>
      <c r="AG53" s="6">
        <v>56599912</v>
      </c>
      <c r="AH53" s="6">
        <v>64521491</v>
      </c>
      <c r="AI53" s="6">
        <v>76830954</v>
      </c>
      <c r="AJ53" s="6">
        <v>90420835</v>
      </c>
      <c r="AK53" s="6">
        <v>92034268</v>
      </c>
      <c r="AL53" s="6">
        <v>82549951</v>
      </c>
      <c r="AM53" s="6">
        <v>81853657</v>
      </c>
      <c r="AN53" s="6">
        <v>76260916</v>
      </c>
      <c r="AO53" s="6">
        <v>60315061</v>
      </c>
      <c r="AP53" s="6">
        <v>49479389</v>
      </c>
      <c r="AQ53" s="6">
        <v>33179318</v>
      </c>
      <c r="AR53" s="6">
        <v>17557999</v>
      </c>
      <c r="AS53" s="6">
        <v>15194011</v>
      </c>
      <c r="AT53" s="6">
        <v>14923812</v>
      </c>
      <c r="AU53" s="6">
        <v>15295209</v>
      </c>
      <c r="AV53" s="6">
        <v>14395032</v>
      </c>
      <c r="AW53" s="6">
        <v>13631525</v>
      </c>
      <c r="AX53" s="6">
        <v>14362932</v>
      </c>
      <c r="AY53" s="6">
        <v>17335540</v>
      </c>
      <c r="AZ53" s="6">
        <v>22765610</v>
      </c>
      <c r="BA53" s="6">
        <v>18925212</v>
      </c>
      <c r="BB53" s="6">
        <v>15891749</v>
      </c>
      <c r="BC53" s="7">
        <v>15513274</v>
      </c>
      <c r="BD53" s="6">
        <v>20352416</v>
      </c>
      <c r="BE53" s="6">
        <v>20436966</v>
      </c>
      <c r="BF53" s="14">
        <v>21991254</v>
      </c>
      <c r="BG53" s="6"/>
      <c r="BH53" s="6"/>
      <c r="BI53" s="6"/>
      <c r="BJ53" s="6"/>
      <c r="BK53" s="6"/>
      <c r="BL53" s="6"/>
      <c r="BM53" s="6"/>
      <c r="BN53" s="11"/>
    </row>
    <row r="54" spans="1:66" ht="21" customHeight="1">
      <c r="A54" s="5"/>
      <c r="B54" s="12"/>
      <c r="C54" s="5" t="s">
        <v>242</v>
      </c>
      <c r="D54" s="5"/>
      <c r="E54" s="5"/>
      <c r="F54" s="5"/>
      <c r="G54" s="118"/>
      <c r="H54" s="118"/>
      <c r="I54" s="118"/>
      <c r="J54" s="118"/>
      <c r="K54" s="118"/>
      <c r="L54" s="118"/>
      <c r="M54" s="118"/>
      <c r="N54" s="7">
        <v>400000</v>
      </c>
      <c r="O54" s="6">
        <v>600000</v>
      </c>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7"/>
      <c r="BD54" s="6"/>
      <c r="BE54" s="6"/>
      <c r="BF54" s="14"/>
      <c r="BG54" s="6">
        <v>20045328</v>
      </c>
      <c r="BH54" s="6">
        <v>22209646</v>
      </c>
      <c r="BI54" s="6">
        <v>7739991</v>
      </c>
      <c r="BJ54" s="6"/>
      <c r="BK54" s="6"/>
      <c r="BL54" s="6"/>
      <c r="BM54" s="6"/>
      <c r="BN54" s="11"/>
    </row>
    <row r="55" spans="1:66" ht="21" customHeight="1">
      <c r="A55" s="5"/>
      <c r="B55" s="12"/>
      <c r="C55" s="5" t="s">
        <v>243</v>
      </c>
      <c r="D55" s="5"/>
      <c r="E55" s="5"/>
      <c r="F55" s="5"/>
      <c r="G55" s="6"/>
      <c r="H55" s="6"/>
      <c r="I55" s="6"/>
      <c r="J55" s="6"/>
      <c r="K55" s="6"/>
      <c r="L55" s="6"/>
      <c r="M55" s="6"/>
      <c r="N55" s="7"/>
      <c r="O55" s="6"/>
      <c r="P55" s="6"/>
      <c r="Q55" s="6"/>
      <c r="R55" s="6"/>
      <c r="S55" s="6"/>
      <c r="T55" s="6"/>
      <c r="U55" s="6">
        <v>0</v>
      </c>
      <c r="V55" s="6">
        <v>70000</v>
      </c>
      <c r="W55" s="6">
        <v>244563</v>
      </c>
      <c r="X55" s="6">
        <v>286968</v>
      </c>
      <c r="Y55" s="6">
        <v>275349</v>
      </c>
      <c r="Z55" s="6">
        <v>306291</v>
      </c>
      <c r="AA55" s="6">
        <v>353313</v>
      </c>
      <c r="AB55" s="6">
        <v>439482</v>
      </c>
      <c r="AC55" s="6">
        <v>709346</v>
      </c>
      <c r="AD55" s="6">
        <v>1243056</v>
      </c>
      <c r="AE55" s="6">
        <v>1237446</v>
      </c>
      <c r="AF55" s="6">
        <v>1554591</v>
      </c>
      <c r="AG55" s="6">
        <v>1631846</v>
      </c>
      <c r="AH55" s="6">
        <v>2705738</v>
      </c>
      <c r="AI55" s="6">
        <v>6557943</v>
      </c>
      <c r="AJ55" s="6">
        <v>4448129</v>
      </c>
      <c r="AK55" s="6">
        <v>5725115</v>
      </c>
      <c r="AL55" s="6"/>
      <c r="AM55" s="5"/>
      <c r="AN55" s="5"/>
      <c r="AO55" s="5"/>
      <c r="AP55" s="5"/>
      <c r="AQ55" s="5"/>
      <c r="AR55" s="5"/>
      <c r="AS55" s="6"/>
      <c r="AT55" s="6"/>
      <c r="AU55" s="6"/>
      <c r="AV55" s="6"/>
      <c r="AW55" s="6"/>
      <c r="AX55" s="6"/>
      <c r="AY55" s="6"/>
      <c r="AZ55" s="5"/>
      <c r="BA55" s="5"/>
      <c r="BB55" s="5"/>
      <c r="BC55" s="31"/>
      <c r="BD55" s="5"/>
      <c r="BE55" s="5"/>
      <c r="BF55" s="26"/>
      <c r="BG55" s="5"/>
      <c r="BH55" s="5"/>
      <c r="BI55" s="5"/>
      <c r="BJ55" s="5"/>
      <c r="BK55" s="5"/>
      <c r="BL55" s="5"/>
      <c r="BM55" s="5"/>
      <c r="BN55" s="11"/>
    </row>
    <row r="56" spans="1:66" ht="21" customHeight="1">
      <c r="A56" s="5"/>
      <c r="B56" s="12"/>
      <c r="C56" s="5" t="s">
        <v>244</v>
      </c>
      <c r="D56" s="5"/>
      <c r="E56" s="5"/>
      <c r="F56" s="5"/>
      <c r="G56" s="6"/>
      <c r="H56" s="6"/>
      <c r="I56" s="6"/>
      <c r="J56" s="6"/>
      <c r="K56" s="6"/>
      <c r="L56" s="6"/>
      <c r="M56" s="6"/>
      <c r="N56" s="7"/>
      <c r="O56" s="6"/>
      <c r="P56" s="6">
        <v>1000000</v>
      </c>
      <c r="Q56" s="6">
        <v>1300000</v>
      </c>
      <c r="R56" s="6">
        <v>3000760</v>
      </c>
      <c r="S56" s="6">
        <v>4749693</v>
      </c>
      <c r="T56" s="6">
        <v>4185519</v>
      </c>
      <c r="U56" s="6">
        <v>4595341</v>
      </c>
      <c r="V56" s="6">
        <v>5140943</v>
      </c>
      <c r="W56" s="6">
        <f>13770950-7984000</f>
        <v>5786950</v>
      </c>
      <c r="X56" s="6">
        <v>5024957</v>
      </c>
      <c r="Y56" s="6">
        <v>4811091</v>
      </c>
      <c r="Z56" s="6">
        <v>3786452</v>
      </c>
      <c r="AA56" s="6">
        <v>3710344</v>
      </c>
      <c r="AB56" s="6">
        <v>3852015</v>
      </c>
      <c r="AC56" s="6">
        <v>4222091</v>
      </c>
      <c r="AD56" s="6">
        <v>4644888</v>
      </c>
      <c r="AE56" s="6">
        <v>5069385</v>
      </c>
      <c r="AF56" s="6">
        <v>5467306</v>
      </c>
      <c r="AG56" s="6">
        <v>6148135</v>
      </c>
      <c r="AH56" s="6">
        <v>6270295</v>
      </c>
      <c r="AI56" s="6">
        <v>6313624</v>
      </c>
      <c r="AJ56" s="6">
        <v>7169590</v>
      </c>
      <c r="AK56" s="6">
        <v>8147347</v>
      </c>
      <c r="AL56" s="6">
        <v>9850218</v>
      </c>
      <c r="AM56" s="6">
        <v>10225384</v>
      </c>
      <c r="AN56" s="6">
        <v>9689927</v>
      </c>
      <c r="AO56" s="6">
        <v>9899974</v>
      </c>
      <c r="AP56" s="6">
        <v>8900310</v>
      </c>
      <c r="AQ56" s="6">
        <v>9688386</v>
      </c>
      <c r="AR56" s="6">
        <v>9716039</v>
      </c>
      <c r="AS56" s="6">
        <v>8757355</v>
      </c>
      <c r="AT56" s="6">
        <v>9059956</v>
      </c>
      <c r="AU56" s="6">
        <v>12205605</v>
      </c>
      <c r="AV56" s="6">
        <v>24537470</v>
      </c>
      <c r="AW56" s="6">
        <v>26761093</v>
      </c>
      <c r="AX56" s="6">
        <v>28010929</v>
      </c>
      <c r="AY56" s="6">
        <v>25853136</v>
      </c>
      <c r="AZ56" s="6">
        <v>25262331</v>
      </c>
      <c r="BA56" s="6">
        <v>26813757</v>
      </c>
      <c r="BB56" s="6">
        <v>23836937</v>
      </c>
      <c r="BC56" s="7">
        <v>21763043</v>
      </c>
      <c r="BD56" s="6">
        <v>21669554</v>
      </c>
      <c r="BE56" s="6"/>
      <c r="BF56" s="14"/>
      <c r="BG56" s="6"/>
      <c r="BH56" s="6"/>
      <c r="BI56" s="6"/>
      <c r="BJ56" s="6"/>
      <c r="BK56" s="6"/>
      <c r="BL56" s="6"/>
      <c r="BM56" s="6"/>
      <c r="BN56" s="11"/>
    </row>
    <row r="57" spans="1:66" ht="21" customHeight="1">
      <c r="A57" s="5"/>
      <c r="B57" s="12"/>
      <c r="C57" s="32" t="s">
        <v>245</v>
      </c>
      <c r="D57" s="33"/>
      <c r="E57" s="33"/>
      <c r="F57" s="34"/>
      <c r="G57" s="6"/>
      <c r="H57" s="6"/>
      <c r="I57" s="6"/>
      <c r="J57" s="6"/>
      <c r="K57" s="6"/>
      <c r="L57" s="6"/>
      <c r="M57" s="6"/>
      <c r="N57" s="7"/>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7"/>
      <c r="BD57" s="6"/>
      <c r="BE57" s="6">
        <v>3960275</v>
      </c>
      <c r="BF57" s="14">
        <v>4040521</v>
      </c>
      <c r="BG57" s="6">
        <v>4469846</v>
      </c>
      <c r="BH57" s="6">
        <v>3680333</v>
      </c>
      <c r="BI57" s="6">
        <f>10883435-BI73</f>
        <v>6683435</v>
      </c>
      <c r="BJ57" s="6">
        <v>10666391</v>
      </c>
      <c r="BK57" s="14">
        <v>10157400</v>
      </c>
      <c r="BL57" s="6">
        <v>10265247</v>
      </c>
      <c r="BM57" s="14">
        <v>9465608</v>
      </c>
      <c r="BN57" s="11"/>
    </row>
    <row r="58" spans="1:66" ht="21" customHeight="1">
      <c r="A58" s="5"/>
      <c r="B58" s="12"/>
      <c r="C58" s="35" t="s">
        <v>246</v>
      </c>
      <c r="D58" s="36"/>
      <c r="E58" s="36"/>
      <c r="F58" s="37"/>
      <c r="G58" s="6"/>
      <c r="H58" s="6"/>
      <c r="I58" s="6"/>
      <c r="J58" s="6"/>
      <c r="K58" s="6"/>
      <c r="L58" s="6"/>
      <c r="M58" s="6"/>
      <c r="N58" s="7"/>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7"/>
      <c r="BD58" s="6"/>
      <c r="BE58" s="6">
        <v>34815678</v>
      </c>
      <c r="BF58" s="14">
        <v>34708600</v>
      </c>
      <c r="BG58" s="6">
        <v>29434292</v>
      </c>
      <c r="BH58" s="6">
        <v>31983094</v>
      </c>
      <c r="BI58" s="6">
        <f>47457995-BI62</f>
        <v>30724785</v>
      </c>
      <c r="BJ58" s="6">
        <f>50553649-BJ62</f>
        <v>33619737</v>
      </c>
      <c r="BK58" s="14">
        <f>40558389-7858013</f>
        <v>32700376</v>
      </c>
      <c r="BL58" s="6">
        <f>44181975-BL62</f>
        <v>38110320</v>
      </c>
      <c r="BM58" s="14"/>
      <c r="BN58" s="11"/>
    </row>
    <row r="59" spans="1:66" ht="21" customHeight="1">
      <c r="A59" s="5"/>
      <c r="B59" s="12"/>
      <c r="C59" s="35" t="s">
        <v>247</v>
      </c>
      <c r="D59" s="36"/>
      <c r="E59" s="36"/>
      <c r="F59" s="37"/>
      <c r="G59" s="6"/>
      <c r="H59" s="6"/>
      <c r="I59" s="6"/>
      <c r="J59" s="6"/>
      <c r="K59" s="6"/>
      <c r="L59" s="6"/>
      <c r="M59" s="6"/>
      <c r="N59" s="7"/>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7"/>
      <c r="BD59" s="6"/>
      <c r="BE59" s="6"/>
      <c r="BF59" s="14"/>
      <c r="BG59" s="6"/>
      <c r="BH59" s="6"/>
      <c r="BI59" s="6"/>
      <c r="BJ59" s="6"/>
      <c r="BK59" s="14"/>
      <c r="BL59" s="6"/>
      <c r="BM59" s="14">
        <f>39760897-BM62</f>
        <v>33797593</v>
      </c>
      <c r="BN59" s="11"/>
    </row>
    <row r="60" spans="1:66" ht="21" customHeight="1">
      <c r="A60" s="5"/>
      <c r="B60" s="12"/>
      <c r="C60" s="35" t="s">
        <v>248</v>
      </c>
      <c r="D60" s="36"/>
      <c r="E60" s="36"/>
      <c r="F60" s="37"/>
      <c r="G60" s="6"/>
      <c r="H60" s="6"/>
      <c r="I60" s="6"/>
      <c r="J60" s="6"/>
      <c r="K60" s="6"/>
      <c r="L60" s="6"/>
      <c r="M60" s="6"/>
      <c r="N60" s="7"/>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7"/>
      <c r="BD60" s="6"/>
      <c r="BE60" s="6"/>
      <c r="BF60" s="14"/>
      <c r="BG60" s="6"/>
      <c r="BH60" s="6"/>
      <c r="BI60" s="6">
        <v>15177784</v>
      </c>
      <c r="BJ60" s="14">
        <v>22287895</v>
      </c>
      <c r="BK60" s="14">
        <v>22160000</v>
      </c>
      <c r="BL60" s="6">
        <v>21993373</v>
      </c>
      <c r="BM60" s="14">
        <v>21641479</v>
      </c>
      <c r="BN60" s="11"/>
    </row>
    <row r="61" spans="1:66" ht="21" customHeight="1">
      <c r="A61" s="5"/>
      <c r="B61" s="12"/>
      <c r="C61" s="35" t="s">
        <v>249</v>
      </c>
      <c r="D61" s="36"/>
      <c r="E61" s="36"/>
      <c r="F61" s="37"/>
      <c r="G61" s="6"/>
      <c r="H61" s="6"/>
      <c r="I61" s="6"/>
      <c r="J61" s="6"/>
      <c r="K61" s="6"/>
      <c r="L61" s="6"/>
      <c r="M61" s="6"/>
      <c r="N61" s="7"/>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7"/>
      <c r="BD61" s="6"/>
      <c r="BE61" s="6"/>
      <c r="BF61" s="14"/>
      <c r="BG61" s="6"/>
      <c r="BH61" s="6"/>
      <c r="BI61" s="6">
        <v>1520000</v>
      </c>
      <c r="BJ61" s="14">
        <v>1392000</v>
      </c>
      <c r="BK61" s="14">
        <v>1251000</v>
      </c>
      <c r="BL61" s="6">
        <v>978000</v>
      </c>
      <c r="BM61" s="14"/>
      <c r="BN61" s="11"/>
    </row>
    <row r="62" spans="1:66" ht="21" customHeight="1">
      <c r="A62" s="5"/>
      <c r="B62" s="12"/>
      <c r="C62" s="5" t="s">
        <v>250</v>
      </c>
      <c r="D62" s="5"/>
      <c r="E62" s="5"/>
      <c r="F62" s="5"/>
      <c r="G62" s="6"/>
      <c r="H62" s="6"/>
      <c r="I62" s="6"/>
      <c r="J62" s="6"/>
      <c r="K62" s="6"/>
      <c r="L62" s="6">
        <v>31200</v>
      </c>
      <c r="M62" s="6">
        <v>51910</v>
      </c>
      <c r="N62" s="7">
        <v>61910</v>
      </c>
      <c r="O62" s="6">
        <v>61910</v>
      </c>
      <c r="P62" s="6">
        <v>61910</v>
      </c>
      <c r="Q62" s="6">
        <v>403604</v>
      </c>
      <c r="R62" s="6">
        <v>824676</v>
      </c>
      <c r="S62" s="6">
        <v>1019113</v>
      </c>
      <c r="T62" s="6">
        <v>1197522</v>
      </c>
      <c r="U62" s="6">
        <v>1410865</v>
      </c>
      <c r="V62" s="6">
        <v>1743772</v>
      </c>
      <c r="W62" s="6">
        <v>2166410</v>
      </c>
      <c r="X62" s="6">
        <v>2529302</v>
      </c>
      <c r="Y62" s="6">
        <v>2853542</v>
      </c>
      <c r="Z62" s="6">
        <v>3329992</v>
      </c>
      <c r="AA62" s="6">
        <v>4080958</v>
      </c>
      <c r="AB62" s="6">
        <v>4771759</v>
      </c>
      <c r="AC62" s="6">
        <v>5966350</v>
      </c>
      <c r="AD62" s="6">
        <v>7795775</v>
      </c>
      <c r="AE62" s="6">
        <v>11222572</v>
      </c>
      <c r="AF62" s="6">
        <v>16894266</v>
      </c>
      <c r="AG62" s="6">
        <v>20112617</v>
      </c>
      <c r="AH62" s="6">
        <v>22607840</v>
      </c>
      <c r="AI62" s="6">
        <v>25665890</v>
      </c>
      <c r="AJ62" s="6">
        <v>28597295</v>
      </c>
      <c r="AK62" s="6">
        <v>31246866</v>
      </c>
      <c r="AL62" s="6">
        <v>34187048</v>
      </c>
      <c r="AM62" s="6">
        <v>36583824</v>
      </c>
      <c r="AN62" s="6">
        <v>38012191</v>
      </c>
      <c r="AO62" s="6">
        <v>39468890</v>
      </c>
      <c r="AP62" s="6">
        <v>40962324</v>
      </c>
      <c r="AQ62" s="6">
        <v>42534168</v>
      </c>
      <c r="AR62" s="6">
        <v>43655763</v>
      </c>
      <c r="AS62" s="6">
        <v>44940470</v>
      </c>
      <c r="AT62" s="6">
        <v>45977147</v>
      </c>
      <c r="AU62" s="6">
        <v>47664707</v>
      </c>
      <c r="AV62" s="6">
        <v>50323908</v>
      </c>
      <c r="AW62" s="6">
        <v>52627732</v>
      </c>
      <c r="AX62" s="6">
        <v>51452382</v>
      </c>
      <c r="AY62" s="6">
        <v>37090726</v>
      </c>
      <c r="AZ62" s="6">
        <v>21509025</v>
      </c>
      <c r="BA62" s="6">
        <v>22208997</v>
      </c>
      <c r="BB62" s="6">
        <v>22879188</v>
      </c>
      <c r="BC62" s="7">
        <v>20456319</v>
      </c>
      <c r="BD62" s="6">
        <v>20897150</v>
      </c>
      <c r="BE62" s="6">
        <v>19300085</v>
      </c>
      <c r="BF62" s="14">
        <v>17922442</v>
      </c>
      <c r="BG62" s="6">
        <v>16902115</v>
      </c>
      <c r="BH62" s="6">
        <v>18514030</v>
      </c>
      <c r="BI62" s="6">
        <f>16334438+398772</f>
        <v>16733210</v>
      </c>
      <c r="BJ62" s="14">
        <f>16603912+330000</f>
        <v>16933912</v>
      </c>
      <c r="BK62" s="14">
        <v>7858013</v>
      </c>
      <c r="BL62" s="6">
        <v>6071655</v>
      </c>
      <c r="BM62" s="14">
        <v>5963304</v>
      </c>
      <c r="BN62" s="11"/>
    </row>
    <row r="63" spans="1:66" ht="21" customHeight="1">
      <c r="A63" s="5"/>
      <c r="B63" s="12"/>
      <c r="C63" s="5" t="s">
        <v>251</v>
      </c>
      <c r="D63" s="5"/>
      <c r="E63" s="5"/>
      <c r="F63" s="5"/>
      <c r="G63" s="6"/>
      <c r="H63" s="6"/>
      <c r="I63" s="6"/>
      <c r="J63" s="6"/>
      <c r="K63" s="6"/>
      <c r="L63" s="6"/>
      <c r="M63" s="6"/>
      <c r="N63" s="7"/>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7"/>
      <c r="BD63" s="6"/>
      <c r="BE63" s="6">
        <v>6382397</v>
      </c>
      <c r="BF63" s="14">
        <v>6751935</v>
      </c>
      <c r="BG63" s="6">
        <v>7202154</v>
      </c>
      <c r="BH63" s="6"/>
      <c r="BI63" s="6"/>
      <c r="BJ63" s="14"/>
      <c r="BK63" s="14"/>
      <c r="BL63" s="6"/>
      <c r="BM63" s="14"/>
      <c r="BN63" s="11"/>
    </row>
    <row r="64" spans="1:66" ht="21" customHeight="1">
      <c r="A64" s="5"/>
      <c r="B64" s="12"/>
      <c r="C64" s="5" t="s">
        <v>252</v>
      </c>
      <c r="D64" s="5"/>
      <c r="E64" s="5"/>
      <c r="F64" s="5"/>
      <c r="G64" s="6"/>
      <c r="H64" s="6"/>
      <c r="I64" s="6">
        <v>222643</v>
      </c>
      <c r="J64" s="6">
        <v>51012</v>
      </c>
      <c r="K64" s="6">
        <v>42816</v>
      </c>
      <c r="L64" s="6">
        <v>67142</v>
      </c>
      <c r="M64" s="6">
        <v>67142</v>
      </c>
      <c r="N64" s="7">
        <v>67142</v>
      </c>
      <c r="O64" s="6">
        <v>150554</v>
      </c>
      <c r="P64" s="6">
        <v>189707</v>
      </c>
      <c r="Q64" s="6">
        <v>244820</v>
      </c>
      <c r="R64" s="6">
        <v>283141</v>
      </c>
      <c r="S64" s="6">
        <v>318623</v>
      </c>
      <c r="T64" s="6">
        <v>377531</v>
      </c>
      <c r="U64" s="6">
        <v>459063</v>
      </c>
      <c r="V64" s="6">
        <v>549248</v>
      </c>
      <c r="W64" s="6">
        <v>669597</v>
      </c>
      <c r="X64" s="6">
        <v>983778</v>
      </c>
      <c r="Y64" s="6">
        <v>1197849</v>
      </c>
      <c r="Z64" s="6">
        <v>1367314</v>
      </c>
      <c r="AA64" s="6">
        <v>1636273</v>
      </c>
      <c r="AB64" s="6">
        <v>1968085</v>
      </c>
      <c r="AC64" s="6">
        <v>2319548</v>
      </c>
      <c r="AD64" s="6">
        <v>2710755</v>
      </c>
      <c r="AE64" s="6">
        <v>3063922</v>
      </c>
      <c r="AF64" s="6">
        <v>3669005</v>
      </c>
      <c r="AG64" s="6">
        <v>3771087</v>
      </c>
      <c r="AH64" s="6">
        <v>3973725</v>
      </c>
      <c r="AI64" s="6">
        <v>4311186</v>
      </c>
      <c r="AJ64" s="6">
        <v>4654165</v>
      </c>
      <c r="AK64" s="6">
        <v>5749131</v>
      </c>
      <c r="AL64" s="6">
        <v>6693666</v>
      </c>
      <c r="AM64" s="6">
        <v>6166626</v>
      </c>
      <c r="AN64" s="6">
        <v>7827678</v>
      </c>
      <c r="AO64" s="6">
        <v>9245183</v>
      </c>
      <c r="AP64" s="6">
        <v>10449330</v>
      </c>
      <c r="AQ64" s="6">
        <v>10710125</v>
      </c>
      <c r="AR64" s="6">
        <v>11509818</v>
      </c>
      <c r="AS64" s="6">
        <v>11126016</v>
      </c>
      <c r="AT64" s="6">
        <v>11209566</v>
      </c>
      <c r="AU64" s="6">
        <v>11465664</v>
      </c>
      <c r="AV64" s="6">
        <v>12643853</v>
      </c>
      <c r="AW64" s="6">
        <v>12378032</v>
      </c>
      <c r="AX64" s="6">
        <v>13050372</v>
      </c>
      <c r="AY64" s="6">
        <v>12763686</v>
      </c>
      <c r="AZ64" s="6">
        <v>13296288</v>
      </c>
      <c r="BA64" s="6">
        <v>14945411</v>
      </c>
      <c r="BB64" s="6">
        <v>17249033</v>
      </c>
      <c r="BC64" s="7">
        <v>18296505</v>
      </c>
      <c r="BD64" s="6">
        <v>15407055</v>
      </c>
      <c r="BE64" s="6"/>
      <c r="BF64" s="14"/>
      <c r="BG64" s="6"/>
      <c r="BH64" s="6"/>
      <c r="BI64" s="6"/>
      <c r="BJ64" s="14"/>
      <c r="BK64" s="14"/>
      <c r="BL64" s="6"/>
      <c r="BM64" s="14"/>
      <c r="BN64" s="11"/>
    </row>
    <row r="65" spans="1:66" ht="21" customHeight="1">
      <c r="A65" s="5"/>
      <c r="B65" s="12"/>
      <c r="C65" s="5" t="s">
        <v>253</v>
      </c>
      <c r="D65" s="5"/>
      <c r="E65" s="5"/>
      <c r="F65" s="5"/>
      <c r="G65" s="6"/>
      <c r="H65" s="6"/>
      <c r="I65" s="6"/>
      <c r="J65" s="6"/>
      <c r="K65" s="6"/>
      <c r="L65" s="6"/>
      <c r="M65" s="6">
        <v>0</v>
      </c>
      <c r="N65" s="7">
        <v>35000</v>
      </c>
      <c r="O65" s="6">
        <v>50000</v>
      </c>
      <c r="P65" s="6">
        <v>50000</v>
      </c>
      <c r="Q65" s="6">
        <v>64484</v>
      </c>
      <c r="R65" s="6">
        <v>74579</v>
      </c>
      <c r="S65" s="6">
        <v>84308</v>
      </c>
      <c r="T65" s="6">
        <v>94432</v>
      </c>
      <c r="U65" s="6">
        <v>110046</v>
      </c>
      <c r="V65" s="6">
        <v>140978</v>
      </c>
      <c r="W65" s="6">
        <v>173006</v>
      </c>
      <c r="X65" s="6">
        <v>196646</v>
      </c>
      <c r="Y65" s="6">
        <v>223847</v>
      </c>
      <c r="Z65" s="6">
        <v>254377</v>
      </c>
      <c r="AA65" s="6">
        <v>328171</v>
      </c>
      <c r="AB65" s="6">
        <v>385662</v>
      </c>
      <c r="AC65" s="6">
        <v>466473</v>
      </c>
      <c r="AD65" s="6">
        <v>613043</v>
      </c>
      <c r="AE65" s="6">
        <v>837028</v>
      </c>
      <c r="AF65" s="6">
        <v>1272678</v>
      </c>
      <c r="AG65" s="6">
        <v>1597337</v>
      </c>
      <c r="AH65" s="6">
        <v>1935594</v>
      </c>
      <c r="AI65" s="6">
        <v>2412673</v>
      </c>
      <c r="AJ65" s="6">
        <v>2912031</v>
      </c>
      <c r="AK65" s="6">
        <v>3393915</v>
      </c>
      <c r="AL65" s="6">
        <v>3667977</v>
      </c>
      <c r="AM65" s="6">
        <v>3870808</v>
      </c>
      <c r="AN65" s="6">
        <v>4004386</v>
      </c>
      <c r="AO65" s="6">
        <v>4145340</v>
      </c>
      <c r="AP65" s="6">
        <v>4285249</v>
      </c>
      <c r="AQ65" s="6">
        <v>4564790</v>
      </c>
      <c r="AR65" s="6">
        <v>4699818</v>
      </c>
      <c r="AS65" s="6">
        <v>5120393</v>
      </c>
      <c r="AT65" s="6">
        <v>5386509</v>
      </c>
      <c r="AU65" s="6">
        <v>5819418</v>
      </c>
      <c r="AV65" s="6">
        <v>6324704</v>
      </c>
      <c r="AW65" s="6">
        <v>6626365</v>
      </c>
      <c r="AX65" s="6">
        <v>7042194</v>
      </c>
      <c r="AY65" s="6">
        <v>7344603</v>
      </c>
      <c r="AZ65" s="6">
        <v>6804515</v>
      </c>
      <c r="BA65" s="6">
        <v>7010979</v>
      </c>
      <c r="BB65" s="6">
        <v>7203850</v>
      </c>
      <c r="BC65" s="7">
        <v>5177336</v>
      </c>
      <c r="BD65" s="6">
        <v>5593720</v>
      </c>
      <c r="BE65" s="6"/>
      <c r="BF65" s="14"/>
      <c r="BG65" s="6"/>
      <c r="BH65" s="6"/>
      <c r="BI65" s="6"/>
      <c r="BJ65" s="14"/>
      <c r="BK65" s="14"/>
      <c r="BL65" s="6"/>
      <c r="BM65" s="14"/>
      <c r="BN65" s="11"/>
    </row>
    <row r="66" spans="1:66" ht="21" customHeight="1">
      <c r="A66" s="5"/>
      <c r="B66" s="12"/>
      <c r="C66" s="5" t="s">
        <v>254</v>
      </c>
      <c r="D66" s="5"/>
      <c r="E66" s="5"/>
      <c r="F66" s="5"/>
      <c r="G66" s="6"/>
      <c r="H66" s="6"/>
      <c r="I66" s="6"/>
      <c r="J66" s="6"/>
      <c r="K66" s="6"/>
      <c r="L66" s="6"/>
      <c r="M66" s="6"/>
      <c r="N66" s="7"/>
      <c r="O66" s="6"/>
      <c r="P66" s="6"/>
      <c r="Q66" s="6"/>
      <c r="R66" s="6"/>
      <c r="S66" s="6"/>
      <c r="T66" s="6"/>
      <c r="U66" s="6"/>
      <c r="V66" s="6"/>
      <c r="W66" s="6"/>
      <c r="X66" s="6"/>
      <c r="Y66" s="6"/>
      <c r="Z66" s="6"/>
      <c r="AA66" s="6"/>
      <c r="AB66" s="6"/>
      <c r="AC66" s="6">
        <v>0</v>
      </c>
      <c r="AD66" s="6">
        <v>3000000</v>
      </c>
      <c r="AE66" s="6">
        <v>10483600</v>
      </c>
      <c r="AF66" s="6">
        <v>16531000</v>
      </c>
      <c r="AG66" s="6">
        <v>22757000</v>
      </c>
      <c r="AH66" s="6">
        <v>24543000</v>
      </c>
      <c r="AI66" s="6">
        <v>21029000</v>
      </c>
      <c r="AJ66" s="6">
        <v>21000000</v>
      </c>
      <c r="AK66" s="6">
        <v>18400000</v>
      </c>
      <c r="AL66" s="6">
        <v>27252000</v>
      </c>
      <c r="AM66" s="6">
        <v>22613000</v>
      </c>
      <c r="AN66" s="6">
        <v>18839000</v>
      </c>
      <c r="AO66" s="6">
        <v>18802000</v>
      </c>
      <c r="AP66" s="6">
        <v>15777000</v>
      </c>
      <c r="AQ66" s="6">
        <v>11769000</v>
      </c>
      <c r="AR66" s="6">
        <v>11477000</v>
      </c>
      <c r="AS66" s="6">
        <v>10589000</v>
      </c>
      <c r="AT66" s="6">
        <v>8619000</v>
      </c>
      <c r="AU66" s="6">
        <v>8445000</v>
      </c>
      <c r="AV66" s="6">
        <v>6632000</v>
      </c>
      <c r="AW66" s="6">
        <v>5080000</v>
      </c>
      <c r="AX66" s="6">
        <v>3443000</v>
      </c>
      <c r="AY66" s="6">
        <v>4087000</v>
      </c>
      <c r="AZ66" s="6">
        <v>4087000</v>
      </c>
      <c r="BA66" s="6">
        <v>4087000</v>
      </c>
      <c r="BB66" s="6">
        <v>4087000</v>
      </c>
      <c r="BC66" s="7">
        <v>4087000</v>
      </c>
      <c r="BD66" s="6">
        <v>4087000</v>
      </c>
      <c r="BE66" s="6">
        <v>4087000</v>
      </c>
      <c r="BF66" s="14">
        <v>4087000</v>
      </c>
      <c r="BG66" s="6">
        <v>4079000</v>
      </c>
      <c r="BH66" s="6">
        <v>4000000</v>
      </c>
      <c r="BI66" s="6">
        <v>3900000</v>
      </c>
      <c r="BJ66" s="14">
        <v>3800000</v>
      </c>
      <c r="BK66" s="14">
        <v>3700000</v>
      </c>
      <c r="BL66" s="6">
        <v>3600000</v>
      </c>
      <c r="BM66" s="14">
        <v>3600000</v>
      </c>
      <c r="BN66" s="11"/>
    </row>
    <row r="67" spans="1:66" ht="21" customHeight="1">
      <c r="A67" s="5"/>
      <c r="B67" s="12"/>
      <c r="C67" s="5" t="s">
        <v>255</v>
      </c>
      <c r="D67" s="5"/>
      <c r="E67" s="5"/>
      <c r="F67" s="5"/>
      <c r="G67" s="6"/>
      <c r="H67" s="6"/>
      <c r="I67" s="6"/>
      <c r="J67" s="6"/>
      <c r="K67" s="6"/>
      <c r="L67" s="6"/>
      <c r="M67" s="6"/>
      <c r="N67" s="7"/>
      <c r="O67" s="6"/>
      <c r="P67" s="6"/>
      <c r="Q67" s="6"/>
      <c r="R67" s="6"/>
      <c r="S67" s="6"/>
      <c r="T67" s="6"/>
      <c r="U67" s="6"/>
      <c r="V67" s="6"/>
      <c r="W67" s="6"/>
      <c r="X67" s="6"/>
      <c r="Y67" s="6">
        <v>0</v>
      </c>
      <c r="Z67" s="6">
        <v>500000</v>
      </c>
      <c r="AA67" s="6">
        <v>300000</v>
      </c>
      <c r="AB67" s="6">
        <v>200000</v>
      </c>
      <c r="AC67" s="6">
        <v>300000</v>
      </c>
      <c r="AD67" s="6">
        <v>0</v>
      </c>
      <c r="AE67" s="6">
        <v>500000</v>
      </c>
      <c r="AF67" s="6">
        <v>0</v>
      </c>
      <c r="AG67" s="6">
        <v>0</v>
      </c>
      <c r="AH67" s="6">
        <v>100000</v>
      </c>
      <c r="AI67" s="6">
        <v>0</v>
      </c>
      <c r="AJ67" s="6"/>
      <c r="AK67" s="6"/>
      <c r="AL67" s="6"/>
      <c r="AM67" s="5"/>
      <c r="AN67" s="5"/>
      <c r="AO67" s="5"/>
      <c r="AP67" s="5"/>
      <c r="AQ67" s="5"/>
      <c r="AR67" s="5"/>
      <c r="AS67" s="6"/>
      <c r="AT67" s="6"/>
      <c r="AU67" s="6"/>
      <c r="AV67" s="6"/>
      <c r="AW67" s="6"/>
      <c r="AX67" s="6"/>
      <c r="AY67" s="6"/>
      <c r="AZ67" s="6"/>
      <c r="BA67" s="6"/>
      <c r="BB67" s="6"/>
      <c r="BC67" s="7"/>
      <c r="BD67" s="5"/>
      <c r="BE67" s="5"/>
      <c r="BF67" s="26"/>
      <c r="BG67" s="5"/>
      <c r="BH67" s="5"/>
      <c r="BI67" s="5"/>
      <c r="BJ67" s="26"/>
      <c r="BK67" s="26"/>
      <c r="BL67" s="5"/>
      <c r="BM67" s="26"/>
      <c r="BN67" s="11"/>
    </row>
    <row r="68" spans="1:66" ht="21" customHeight="1">
      <c r="A68" s="5"/>
      <c r="B68" s="12"/>
      <c r="C68" s="5" t="s">
        <v>256</v>
      </c>
      <c r="D68" s="5"/>
      <c r="E68" s="5"/>
      <c r="F68" s="5"/>
      <c r="G68" s="6"/>
      <c r="H68" s="6"/>
      <c r="I68" s="6"/>
      <c r="J68" s="6"/>
      <c r="K68" s="6"/>
      <c r="L68" s="6"/>
      <c r="M68" s="6"/>
      <c r="N68" s="7"/>
      <c r="O68" s="6"/>
      <c r="P68" s="6"/>
      <c r="Q68" s="6"/>
      <c r="R68" s="6"/>
      <c r="S68" s="6"/>
      <c r="T68" s="6"/>
      <c r="U68" s="6"/>
      <c r="V68" s="6">
        <v>0</v>
      </c>
      <c r="W68" s="6">
        <v>2500000</v>
      </c>
      <c r="X68" s="6">
        <v>2500000</v>
      </c>
      <c r="Y68" s="6">
        <v>1000000</v>
      </c>
      <c r="Z68" s="6">
        <v>0</v>
      </c>
      <c r="AA68" s="6"/>
      <c r="AB68" s="6"/>
      <c r="AC68" s="6">
        <v>0</v>
      </c>
      <c r="AD68" s="6">
        <v>2000000</v>
      </c>
      <c r="AE68" s="6">
        <v>5000000</v>
      </c>
      <c r="AF68" s="6">
        <v>4000000</v>
      </c>
      <c r="AG68" s="6">
        <v>5000000</v>
      </c>
      <c r="AH68" s="6">
        <v>5000000</v>
      </c>
      <c r="AI68" s="6">
        <v>7000000</v>
      </c>
      <c r="AJ68" s="6">
        <v>8500000</v>
      </c>
      <c r="AK68" s="6">
        <v>9500000</v>
      </c>
      <c r="AL68" s="6">
        <v>11000000</v>
      </c>
      <c r="AM68" s="6">
        <v>12000000</v>
      </c>
      <c r="AN68" s="6">
        <v>10000000</v>
      </c>
      <c r="AO68" s="6">
        <v>10000000</v>
      </c>
      <c r="AP68" s="6"/>
      <c r="AQ68" s="5"/>
      <c r="AR68" s="5"/>
      <c r="AS68" s="6"/>
      <c r="AT68" s="6"/>
      <c r="AU68" s="6"/>
      <c r="AV68" s="6"/>
      <c r="AW68" s="6"/>
      <c r="AX68" s="6"/>
      <c r="AY68" s="6"/>
      <c r="AZ68" s="6"/>
      <c r="BA68" s="6"/>
      <c r="BB68" s="6"/>
      <c r="BC68" s="7"/>
      <c r="BD68" s="6"/>
      <c r="BE68" s="6"/>
      <c r="BF68" s="14"/>
      <c r="BG68" s="6"/>
      <c r="BH68" s="6"/>
      <c r="BI68" s="6"/>
      <c r="BJ68" s="14"/>
      <c r="BK68" s="14"/>
      <c r="BL68" s="6"/>
      <c r="BM68" s="14"/>
      <c r="BN68" s="11"/>
    </row>
    <row r="69" spans="1:66" ht="21" customHeight="1">
      <c r="A69" s="5"/>
      <c r="B69" s="12"/>
      <c r="C69" s="5" t="s">
        <v>257</v>
      </c>
      <c r="D69" s="5"/>
      <c r="E69" s="5"/>
      <c r="F69" s="5"/>
      <c r="G69" s="6"/>
      <c r="H69" s="6"/>
      <c r="I69" s="6"/>
      <c r="J69" s="6"/>
      <c r="K69" s="6"/>
      <c r="L69" s="6"/>
      <c r="M69" s="6"/>
      <c r="N69" s="7"/>
      <c r="O69" s="6"/>
      <c r="P69" s="6"/>
      <c r="Q69" s="6"/>
      <c r="R69" s="6"/>
      <c r="S69" s="6"/>
      <c r="T69" s="6"/>
      <c r="U69" s="6"/>
      <c r="V69" s="6"/>
      <c r="W69" s="6"/>
      <c r="X69" s="6"/>
      <c r="Y69" s="6"/>
      <c r="Z69" s="6"/>
      <c r="AA69" s="6"/>
      <c r="AB69" s="6"/>
      <c r="AC69" s="6"/>
      <c r="AD69" s="6"/>
      <c r="AE69" s="6"/>
      <c r="AF69" s="6"/>
      <c r="AG69" s="6"/>
      <c r="AH69" s="6"/>
      <c r="AI69" s="6"/>
      <c r="AJ69" s="6"/>
      <c r="AK69" s="6">
        <v>2000000</v>
      </c>
      <c r="AL69" s="6">
        <v>2000000</v>
      </c>
      <c r="AM69" s="6">
        <v>2000000</v>
      </c>
      <c r="AN69" s="5">
        <v>0</v>
      </c>
      <c r="AO69" s="5"/>
      <c r="AP69" s="5"/>
      <c r="AQ69" s="5"/>
      <c r="AR69" s="5"/>
      <c r="AS69" s="6"/>
      <c r="AT69" s="6"/>
      <c r="AU69" s="6">
        <v>4500000</v>
      </c>
      <c r="AV69" s="6"/>
      <c r="AW69" s="6"/>
      <c r="AX69" s="6"/>
      <c r="AY69" s="6"/>
      <c r="AZ69" s="6"/>
      <c r="BA69" s="6"/>
      <c r="BB69" s="6"/>
      <c r="BC69" s="7"/>
      <c r="BD69" s="6"/>
      <c r="BE69" s="6"/>
      <c r="BF69" s="14"/>
      <c r="BG69" s="6"/>
      <c r="BH69" s="6"/>
      <c r="BI69" s="6">
        <v>1000000</v>
      </c>
      <c r="BJ69" s="14">
        <v>3500000</v>
      </c>
      <c r="BK69" s="14">
        <v>4500000</v>
      </c>
      <c r="BL69" s="6">
        <v>4500000</v>
      </c>
      <c r="BM69" s="14">
        <v>1740000</v>
      </c>
      <c r="BN69" s="11"/>
    </row>
    <row r="70" spans="1:66" ht="21" customHeight="1">
      <c r="A70" s="5"/>
      <c r="B70" s="12"/>
      <c r="C70" s="5" t="s">
        <v>258</v>
      </c>
      <c r="D70" s="5"/>
      <c r="E70" s="5"/>
      <c r="F70" s="5"/>
      <c r="G70" s="6"/>
      <c r="H70" s="6"/>
      <c r="I70" s="6"/>
      <c r="J70" s="6"/>
      <c r="K70" s="6"/>
      <c r="L70" s="6"/>
      <c r="M70" s="6"/>
      <c r="N70" s="7"/>
      <c r="O70" s="6"/>
      <c r="P70" s="6"/>
      <c r="Q70" s="6"/>
      <c r="R70" s="6"/>
      <c r="S70" s="6"/>
      <c r="T70" s="6"/>
      <c r="U70" s="6"/>
      <c r="V70" s="6"/>
      <c r="W70" s="6"/>
      <c r="X70" s="6"/>
      <c r="Y70" s="6"/>
      <c r="Z70" s="6"/>
      <c r="AA70" s="6"/>
      <c r="AB70" s="6"/>
      <c r="AC70" s="6"/>
      <c r="AD70" s="6"/>
      <c r="AE70" s="6"/>
      <c r="AF70" s="6"/>
      <c r="AG70" s="6"/>
      <c r="AH70" s="6"/>
      <c r="AI70" s="6"/>
      <c r="AJ70" s="6"/>
      <c r="AK70" s="6"/>
      <c r="AL70" s="6"/>
      <c r="AM70" s="6"/>
      <c r="AN70" s="5"/>
      <c r="AO70" s="5"/>
      <c r="AP70" s="5"/>
      <c r="AQ70" s="5"/>
      <c r="AR70" s="5"/>
      <c r="AS70" s="6"/>
      <c r="AT70" s="6"/>
      <c r="AU70" s="6"/>
      <c r="AV70" s="6"/>
      <c r="AW70" s="6"/>
      <c r="AX70" s="6"/>
      <c r="AY70" s="6"/>
      <c r="AZ70" s="6"/>
      <c r="BA70" s="6"/>
      <c r="BB70" s="6"/>
      <c r="BC70" s="7"/>
      <c r="BD70" s="6"/>
      <c r="BE70" s="6"/>
      <c r="BF70" s="14"/>
      <c r="BG70" s="6"/>
      <c r="BH70" s="6"/>
      <c r="BI70" s="6"/>
      <c r="BJ70" s="6"/>
      <c r="BK70" s="14"/>
      <c r="BL70" s="6"/>
      <c r="BM70" s="38">
        <v>246000</v>
      </c>
      <c r="BN70" s="11"/>
    </row>
    <row r="71" spans="1:66" ht="21" customHeight="1">
      <c r="A71" s="5"/>
      <c r="B71" s="12"/>
      <c r="C71" s="5" t="s">
        <v>259</v>
      </c>
      <c r="D71" s="5"/>
      <c r="E71" s="5"/>
      <c r="F71" s="5"/>
      <c r="G71" s="6"/>
      <c r="H71" s="6"/>
      <c r="I71" s="6"/>
      <c r="J71" s="6"/>
      <c r="K71" s="6"/>
      <c r="L71" s="6"/>
      <c r="M71" s="6"/>
      <c r="N71" s="7"/>
      <c r="O71" s="6"/>
      <c r="P71" s="6"/>
      <c r="Q71" s="6"/>
      <c r="R71" s="6"/>
      <c r="S71" s="6"/>
      <c r="T71" s="6"/>
      <c r="U71" s="6"/>
      <c r="V71" s="6"/>
      <c r="W71" s="6"/>
      <c r="X71" s="6"/>
      <c r="Y71" s="6"/>
      <c r="Z71" s="6"/>
      <c r="AA71" s="6"/>
      <c r="AB71" s="6"/>
      <c r="AC71" s="6"/>
      <c r="AD71" s="6"/>
      <c r="AE71" s="6"/>
      <c r="AF71" s="6"/>
      <c r="AG71" s="6"/>
      <c r="AH71" s="6"/>
      <c r="AI71" s="6"/>
      <c r="AJ71" s="6"/>
      <c r="AK71" s="6"/>
      <c r="AL71" s="6"/>
      <c r="AM71" s="6">
        <v>0</v>
      </c>
      <c r="AN71" s="6">
        <v>7934654</v>
      </c>
      <c r="AO71" s="6">
        <v>9528000</v>
      </c>
      <c r="AP71" s="6">
        <v>14562000</v>
      </c>
      <c r="AQ71" s="6">
        <v>23170000</v>
      </c>
      <c r="AR71" s="6">
        <v>29042000</v>
      </c>
      <c r="AS71" s="6">
        <v>28222000</v>
      </c>
      <c r="AT71" s="6">
        <v>25770000</v>
      </c>
      <c r="AU71" s="6">
        <v>17724000</v>
      </c>
      <c r="AV71" s="6">
        <v>12700000</v>
      </c>
      <c r="AW71" s="6">
        <v>12400000</v>
      </c>
      <c r="AX71" s="6">
        <v>12600000</v>
      </c>
      <c r="AY71" s="6">
        <v>14800000</v>
      </c>
      <c r="AZ71" s="6">
        <v>22800000</v>
      </c>
      <c r="BA71" s="6">
        <v>22800000</v>
      </c>
      <c r="BB71" s="6">
        <v>22800000</v>
      </c>
      <c r="BC71" s="7">
        <v>23500000</v>
      </c>
      <c r="BD71" s="6">
        <v>23500000</v>
      </c>
      <c r="BE71" s="6">
        <v>23500000</v>
      </c>
      <c r="BF71" s="14">
        <v>22200000</v>
      </c>
      <c r="BG71" s="6">
        <v>19700000</v>
      </c>
      <c r="BH71" s="6">
        <v>19700000</v>
      </c>
      <c r="BI71" s="6">
        <v>12726896</v>
      </c>
      <c r="BJ71" s="6">
        <v>9641491</v>
      </c>
      <c r="BK71" s="14">
        <v>7753445</v>
      </c>
      <c r="BL71" s="6">
        <v>6699267</v>
      </c>
      <c r="BM71" s="14">
        <v>3582341</v>
      </c>
      <c r="BN71" s="11"/>
    </row>
    <row r="72" spans="1:66" ht="21" customHeight="1">
      <c r="A72" s="5"/>
      <c r="B72" s="12"/>
      <c r="C72" s="5" t="s">
        <v>260</v>
      </c>
      <c r="D72" s="5"/>
      <c r="E72" s="5"/>
      <c r="F72" s="5"/>
      <c r="G72" s="6"/>
      <c r="H72" s="6"/>
      <c r="I72" s="6"/>
      <c r="J72" s="6"/>
      <c r="K72" s="6"/>
      <c r="L72" s="6"/>
      <c r="M72" s="6"/>
      <c r="N72" s="7"/>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7"/>
      <c r="BD72" s="6"/>
      <c r="BE72" s="6"/>
      <c r="BF72" s="14"/>
      <c r="BG72" s="6"/>
      <c r="BH72" s="6"/>
      <c r="BI72" s="6"/>
      <c r="BJ72" s="6"/>
      <c r="BK72" s="6"/>
      <c r="BL72" s="6"/>
      <c r="BM72" s="14">
        <v>9661352</v>
      </c>
      <c r="BN72" s="11"/>
    </row>
    <row r="73" spans="1:66" ht="21" customHeight="1">
      <c r="A73" s="5"/>
      <c r="B73" s="12"/>
      <c r="C73" s="5" t="s">
        <v>261</v>
      </c>
      <c r="D73" s="5"/>
      <c r="E73" s="5"/>
      <c r="F73" s="5"/>
      <c r="G73" s="6"/>
      <c r="H73" s="6"/>
      <c r="I73" s="6"/>
      <c r="J73" s="6"/>
      <c r="K73" s="6"/>
      <c r="L73" s="6"/>
      <c r="M73" s="6"/>
      <c r="N73" s="7"/>
      <c r="O73" s="6"/>
      <c r="P73" s="6"/>
      <c r="Q73" s="6"/>
      <c r="R73" s="6"/>
      <c r="S73" s="6"/>
      <c r="T73" s="6"/>
      <c r="U73" s="6"/>
      <c r="V73" s="6"/>
      <c r="W73" s="6"/>
      <c r="X73" s="6"/>
      <c r="Y73" s="6"/>
      <c r="Z73" s="6"/>
      <c r="AA73" s="6"/>
      <c r="AB73" s="6"/>
      <c r="AC73" s="6"/>
      <c r="AD73" s="6"/>
      <c r="AE73" s="6">
        <v>0</v>
      </c>
      <c r="AF73" s="6">
        <v>400000</v>
      </c>
      <c r="AG73" s="6">
        <v>600000</v>
      </c>
      <c r="AH73" s="6">
        <v>1000000</v>
      </c>
      <c r="AI73" s="6">
        <v>500000</v>
      </c>
      <c r="AJ73" s="6">
        <v>500000</v>
      </c>
      <c r="AK73" s="6">
        <v>400000</v>
      </c>
      <c r="AL73" s="6">
        <v>600000</v>
      </c>
      <c r="AM73" s="6">
        <v>1100000</v>
      </c>
      <c r="AN73" s="6">
        <v>2000000</v>
      </c>
      <c r="AO73" s="6">
        <v>3000000</v>
      </c>
      <c r="AP73" s="6">
        <v>3000000</v>
      </c>
      <c r="AQ73" s="6">
        <v>3100000</v>
      </c>
      <c r="AR73" s="6">
        <v>2400000</v>
      </c>
      <c r="AS73" s="6">
        <v>2400000</v>
      </c>
      <c r="AT73" s="6">
        <v>2500000</v>
      </c>
      <c r="AU73" s="6">
        <v>2700000</v>
      </c>
      <c r="AV73" s="6">
        <v>2700000</v>
      </c>
      <c r="AW73" s="6">
        <v>2700000</v>
      </c>
      <c r="AX73" s="6">
        <v>2700000</v>
      </c>
      <c r="AY73" s="6">
        <v>2700000</v>
      </c>
      <c r="AZ73" s="6">
        <v>3100000</v>
      </c>
      <c r="BA73" s="6">
        <v>2700000</v>
      </c>
      <c r="BB73" s="6">
        <v>2700000</v>
      </c>
      <c r="BC73" s="7">
        <v>10000000</v>
      </c>
      <c r="BD73" s="6">
        <v>5000000</v>
      </c>
      <c r="BE73" s="6">
        <v>4000000</v>
      </c>
      <c r="BF73" s="14">
        <v>4000000</v>
      </c>
      <c r="BG73" s="6">
        <v>4200000</v>
      </c>
      <c r="BH73" s="6">
        <v>4200000</v>
      </c>
      <c r="BI73" s="6">
        <v>4200000</v>
      </c>
      <c r="BJ73" s="6"/>
      <c r="BK73" s="6"/>
      <c r="BL73" s="6"/>
      <c r="BM73" s="6"/>
      <c r="BN73" s="11"/>
    </row>
    <row r="74" spans="1:66" ht="21" customHeight="1">
      <c r="A74" s="5"/>
      <c r="B74" s="12"/>
      <c r="C74" s="39" t="s">
        <v>262</v>
      </c>
      <c r="D74" s="39"/>
      <c r="E74" s="39"/>
      <c r="F74" s="39"/>
      <c r="G74" s="6">
        <v>500000</v>
      </c>
      <c r="H74" s="6"/>
      <c r="I74" s="6"/>
      <c r="J74" s="6"/>
      <c r="K74" s="6"/>
      <c r="L74" s="6"/>
      <c r="M74" s="6"/>
      <c r="N74" s="7"/>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7"/>
      <c r="BD74" s="6"/>
      <c r="BE74" s="6"/>
      <c r="BF74" s="14"/>
      <c r="BG74" s="6"/>
      <c r="BH74" s="6"/>
      <c r="BI74" s="6"/>
      <c r="BJ74" s="6"/>
      <c r="BK74" s="6"/>
      <c r="BL74" s="6"/>
      <c r="BM74" s="6"/>
      <c r="BN74" s="11"/>
    </row>
    <row r="75" spans="1:66" ht="21" customHeight="1">
      <c r="A75" s="5"/>
      <c r="B75" s="12"/>
      <c r="C75" s="39" t="s">
        <v>263</v>
      </c>
      <c r="D75" s="39"/>
      <c r="E75" s="39"/>
      <c r="F75" s="39"/>
      <c r="G75" s="6"/>
      <c r="H75" s="6">
        <v>1000000</v>
      </c>
      <c r="I75" s="6">
        <v>500000</v>
      </c>
      <c r="K75" s="6"/>
      <c r="L75" s="6"/>
      <c r="M75" s="6"/>
      <c r="N75" s="7">
        <v>1000000</v>
      </c>
      <c r="O75" s="6"/>
      <c r="P75" s="6"/>
      <c r="Q75" s="6">
        <v>0</v>
      </c>
      <c r="R75" s="6">
        <v>200000</v>
      </c>
      <c r="S75" s="6">
        <v>300000</v>
      </c>
      <c r="T75" s="6">
        <v>0</v>
      </c>
      <c r="U75" s="6">
        <v>150000</v>
      </c>
      <c r="V75" s="6">
        <v>200000</v>
      </c>
      <c r="W75" s="6"/>
      <c r="X75" s="6"/>
      <c r="Y75" s="6"/>
      <c r="Z75" s="6"/>
      <c r="AA75" s="6"/>
      <c r="AB75" s="6">
        <v>0</v>
      </c>
      <c r="AC75" s="6">
        <v>100000</v>
      </c>
      <c r="AD75" s="6">
        <v>200000</v>
      </c>
      <c r="AE75" s="6">
        <v>0</v>
      </c>
      <c r="AF75" s="6">
        <v>0</v>
      </c>
      <c r="AG75" s="6">
        <v>300000</v>
      </c>
      <c r="AH75" s="6">
        <v>0</v>
      </c>
      <c r="AI75" s="6"/>
      <c r="AJ75" s="6"/>
      <c r="AK75" s="6">
        <v>0</v>
      </c>
      <c r="AL75" s="6">
        <v>500000</v>
      </c>
      <c r="AM75" s="6">
        <v>300000</v>
      </c>
      <c r="AN75" s="6">
        <v>100000</v>
      </c>
      <c r="AO75" s="5">
        <v>0</v>
      </c>
      <c r="AP75" s="5"/>
      <c r="AQ75" s="5"/>
      <c r="AR75" s="5"/>
      <c r="AS75" s="6"/>
      <c r="AT75" s="6"/>
      <c r="AU75" s="6"/>
      <c r="AV75" s="6"/>
      <c r="AW75" s="6"/>
      <c r="AX75" s="6"/>
      <c r="AY75" s="6"/>
      <c r="AZ75" s="6"/>
      <c r="BA75" s="6"/>
      <c r="BB75" s="6"/>
      <c r="BC75" s="7"/>
      <c r="BD75" s="6"/>
      <c r="BE75" s="6"/>
      <c r="BF75" s="14"/>
      <c r="BG75" s="6"/>
      <c r="BH75" s="6"/>
      <c r="BI75" s="6"/>
      <c r="BJ75" s="6"/>
      <c r="BK75" s="6"/>
      <c r="BL75" s="6"/>
      <c r="BM75" s="6"/>
      <c r="BN75" s="11"/>
    </row>
    <row r="76" spans="1:66" ht="21" customHeight="1">
      <c r="A76" s="5"/>
      <c r="B76" s="12"/>
      <c r="C76" s="5" t="s">
        <v>264</v>
      </c>
      <c r="D76" s="5"/>
      <c r="E76" s="5"/>
      <c r="F76" s="5"/>
      <c r="G76" s="6"/>
      <c r="H76" s="6"/>
      <c r="I76" s="6"/>
      <c r="J76" s="6"/>
      <c r="K76" s="6"/>
      <c r="L76" s="6"/>
      <c r="M76" s="6"/>
      <c r="N76" s="7"/>
      <c r="O76" s="6"/>
      <c r="P76" s="6"/>
      <c r="Q76" s="6"/>
      <c r="R76" s="6"/>
      <c r="S76" s="6"/>
      <c r="T76" s="6"/>
      <c r="U76" s="6"/>
      <c r="V76" s="6"/>
      <c r="W76" s="6"/>
      <c r="X76" s="6"/>
      <c r="Y76" s="6"/>
      <c r="Z76" s="6"/>
      <c r="AA76" s="6"/>
      <c r="AB76" s="6"/>
      <c r="AC76" s="6"/>
      <c r="AD76" s="6"/>
      <c r="AE76" s="6">
        <v>0</v>
      </c>
      <c r="AF76" s="6">
        <v>300000</v>
      </c>
      <c r="AG76" s="6">
        <v>0</v>
      </c>
      <c r="AH76" s="6">
        <v>150000</v>
      </c>
      <c r="AI76" s="6">
        <v>0</v>
      </c>
      <c r="AJ76" s="6"/>
      <c r="AK76" s="6"/>
      <c r="AL76" s="6"/>
      <c r="AM76" s="5"/>
      <c r="AN76" s="5"/>
      <c r="AO76" s="5"/>
      <c r="AP76" s="5"/>
      <c r="AQ76" s="5"/>
      <c r="AR76" s="5"/>
      <c r="AS76" s="6"/>
      <c r="AT76" s="6"/>
      <c r="AU76" s="6"/>
      <c r="AV76" s="6"/>
      <c r="AW76" s="6"/>
      <c r="AX76" s="6"/>
      <c r="AY76" s="6"/>
      <c r="AZ76" s="6"/>
      <c r="BA76" s="6"/>
      <c r="BB76" s="6"/>
      <c r="BC76" s="7"/>
      <c r="BD76" s="6"/>
      <c r="BE76" s="6"/>
      <c r="BF76" s="14"/>
      <c r="BG76" s="6"/>
      <c r="BH76" s="6"/>
      <c r="BI76" s="6"/>
      <c r="BJ76" s="6"/>
      <c r="BK76" s="6"/>
      <c r="BL76" s="6"/>
      <c r="BM76" s="6"/>
      <c r="BN76" s="11"/>
    </row>
    <row r="77" spans="1:66" ht="21" customHeight="1">
      <c r="A77" s="5"/>
      <c r="B77" s="12"/>
      <c r="C77" s="5" t="s">
        <v>265</v>
      </c>
      <c r="D77" s="5"/>
      <c r="E77" s="5"/>
      <c r="F77" s="5"/>
      <c r="G77" s="6"/>
      <c r="H77" s="6"/>
      <c r="I77" s="6"/>
      <c r="J77" s="6"/>
      <c r="K77" s="6"/>
      <c r="L77" s="6"/>
      <c r="M77" s="6"/>
      <c r="N77" s="7"/>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5"/>
      <c r="AP77" s="5"/>
      <c r="AQ77" s="6"/>
      <c r="AR77" s="6"/>
      <c r="AS77" s="6"/>
      <c r="AT77" s="6">
        <v>5110253</v>
      </c>
      <c r="AU77" s="6">
        <v>4492710</v>
      </c>
      <c r="AV77" s="6"/>
      <c r="AW77" s="6"/>
      <c r="AX77" s="6"/>
      <c r="AY77" s="6"/>
      <c r="AZ77" s="6"/>
      <c r="BA77" s="6"/>
      <c r="BB77" s="6"/>
      <c r="BC77" s="7"/>
      <c r="BD77" s="6"/>
      <c r="BE77" s="6"/>
      <c r="BF77" s="14"/>
      <c r="BG77" s="6"/>
      <c r="BH77" s="6"/>
      <c r="BI77" s="6"/>
      <c r="BJ77" s="6"/>
      <c r="BK77" s="6"/>
      <c r="BL77" s="6"/>
      <c r="BM77" s="6"/>
      <c r="BN77" s="11"/>
    </row>
    <row r="78" spans="1:66" ht="21" customHeight="1">
      <c r="A78" s="5"/>
      <c r="B78" s="12"/>
      <c r="C78" s="5" t="s">
        <v>266</v>
      </c>
      <c r="D78" s="5"/>
      <c r="E78" s="5"/>
      <c r="F78" s="5"/>
      <c r="G78" s="6"/>
      <c r="H78" s="6"/>
      <c r="I78" s="6"/>
      <c r="J78" s="6"/>
      <c r="K78" s="6"/>
      <c r="L78" s="6"/>
      <c r="M78" s="6"/>
      <c r="N78" s="7"/>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5"/>
      <c r="AP78" s="5"/>
      <c r="AQ78" s="6"/>
      <c r="AR78" s="6"/>
      <c r="AS78" s="6"/>
      <c r="AT78" s="6"/>
      <c r="AU78" s="6"/>
      <c r="AV78" s="6"/>
      <c r="AW78" s="6"/>
      <c r="AX78" s="6"/>
      <c r="AY78" s="6"/>
      <c r="AZ78" s="6"/>
      <c r="BA78" s="6"/>
      <c r="BB78" s="6"/>
      <c r="BC78" s="7">
        <v>5699305</v>
      </c>
      <c r="BD78" s="6">
        <v>8082177</v>
      </c>
      <c r="BE78" s="6">
        <v>8065675</v>
      </c>
      <c r="BF78" s="14">
        <v>7940078</v>
      </c>
      <c r="BG78" s="6">
        <v>7269460</v>
      </c>
      <c r="BH78" s="6">
        <v>6413459</v>
      </c>
      <c r="BI78" s="6">
        <v>6031475</v>
      </c>
      <c r="BJ78" s="6">
        <v>1575238</v>
      </c>
      <c r="BK78" s="14">
        <v>498232</v>
      </c>
      <c r="BL78" s="6">
        <v>476093</v>
      </c>
      <c r="BM78" s="6"/>
      <c r="BN78" s="11"/>
    </row>
    <row r="79" spans="1:66" ht="21" customHeight="1">
      <c r="A79" s="5"/>
      <c r="B79" s="12"/>
      <c r="C79" s="5" t="s">
        <v>267</v>
      </c>
      <c r="D79" s="5"/>
      <c r="E79" s="5"/>
      <c r="F79" s="31"/>
      <c r="G79" s="6"/>
      <c r="H79" s="6"/>
      <c r="I79" s="6"/>
      <c r="J79" s="6"/>
      <c r="K79" s="6"/>
      <c r="L79" s="6"/>
      <c r="M79" s="6">
        <v>120000</v>
      </c>
      <c r="N79" s="7">
        <v>120000</v>
      </c>
      <c r="O79" s="6">
        <v>120000</v>
      </c>
      <c r="P79" s="6">
        <v>700000</v>
      </c>
      <c r="Q79" s="6">
        <v>0</v>
      </c>
      <c r="R79" s="6"/>
      <c r="S79" s="6"/>
      <c r="T79" s="6"/>
      <c r="U79" s="6"/>
      <c r="V79" s="6"/>
      <c r="W79" s="6"/>
      <c r="X79" s="6"/>
      <c r="Y79" s="6"/>
      <c r="Z79" s="6"/>
      <c r="AA79" s="6"/>
      <c r="AB79" s="6">
        <v>0</v>
      </c>
      <c r="AC79" s="6">
        <f>21900000+1650000</f>
        <v>23550000</v>
      </c>
      <c r="AD79" s="6">
        <v>4678994</v>
      </c>
      <c r="AE79" s="6">
        <v>1474855</v>
      </c>
      <c r="AF79" s="6">
        <v>1086166</v>
      </c>
      <c r="AG79" s="6">
        <v>765367</v>
      </c>
      <c r="AH79" s="6">
        <v>594515</v>
      </c>
      <c r="AI79" s="6">
        <v>404505</v>
      </c>
      <c r="AJ79" s="6">
        <v>210155</v>
      </c>
      <c r="AK79" s="13">
        <v>68106</v>
      </c>
      <c r="AL79" s="5">
        <v>0</v>
      </c>
      <c r="AM79" s="5"/>
      <c r="AN79" s="5"/>
      <c r="AO79" s="5"/>
      <c r="AP79" s="26"/>
      <c r="AQ79" s="5"/>
      <c r="AR79" s="5"/>
      <c r="AS79" s="5"/>
      <c r="AT79" s="5"/>
      <c r="AU79" s="5"/>
      <c r="AV79" s="5"/>
      <c r="AW79" s="5"/>
      <c r="AX79" s="5"/>
      <c r="AY79" s="5"/>
      <c r="AZ79" s="5"/>
      <c r="BA79" s="5"/>
      <c r="BB79" s="5"/>
      <c r="BC79" s="31"/>
      <c r="BD79" s="5"/>
      <c r="BE79" s="5"/>
      <c r="BF79" s="26"/>
      <c r="BG79" s="5"/>
      <c r="BH79" s="5"/>
      <c r="BI79" s="5"/>
      <c r="BJ79" s="5"/>
      <c r="BK79" s="26"/>
      <c r="BL79" s="5"/>
      <c r="BM79" s="5"/>
      <c r="BN79" s="11"/>
    </row>
    <row r="80" spans="1:66" ht="21" customHeight="1">
      <c r="A80" s="5"/>
      <c r="B80" s="12"/>
      <c r="C80" s="5" t="s">
        <v>239</v>
      </c>
      <c r="D80" s="5"/>
      <c r="E80" s="5"/>
      <c r="F80" s="5"/>
      <c r="G80" s="6">
        <v>141493</v>
      </c>
      <c r="H80" s="6">
        <v>261238</v>
      </c>
      <c r="I80" s="6">
        <v>34353</v>
      </c>
      <c r="J80" s="6">
        <v>13508</v>
      </c>
      <c r="K80" s="6">
        <v>40835</v>
      </c>
      <c r="L80" s="6">
        <v>25406</v>
      </c>
      <c r="M80" s="6">
        <v>32327</v>
      </c>
      <c r="N80" s="7">
        <v>64602</v>
      </c>
      <c r="O80" s="6">
        <v>63110</v>
      </c>
      <c r="P80" s="6">
        <v>24285</v>
      </c>
      <c r="Q80" s="6">
        <v>140061</v>
      </c>
      <c r="R80" s="6">
        <v>109988</v>
      </c>
      <c r="S80" s="6">
        <v>163693</v>
      </c>
      <c r="T80" s="6">
        <v>112109</v>
      </c>
      <c r="U80" s="6">
        <v>117487</v>
      </c>
      <c r="V80" s="6">
        <v>146799</v>
      </c>
      <c r="W80" s="6">
        <v>235398</v>
      </c>
      <c r="X80" s="6">
        <v>466064</v>
      </c>
      <c r="Y80" s="6">
        <v>439322</v>
      </c>
      <c r="Z80" s="6">
        <v>436355</v>
      </c>
      <c r="AA80" s="6">
        <v>463934</v>
      </c>
      <c r="AB80" s="6">
        <v>732242</v>
      </c>
      <c r="AC80" s="6">
        <v>800954</v>
      </c>
      <c r="AD80" s="6">
        <v>1336594</v>
      </c>
      <c r="AE80" s="6">
        <v>1470272</v>
      </c>
      <c r="AF80" s="6">
        <v>1673844</v>
      </c>
      <c r="AG80" s="6">
        <v>1401827</v>
      </c>
      <c r="AH80" s="6">
        <v>1174857</v>
      </c>
      <c r="AI80" s="6">
        <v>1932516</v>
      </c>
      <c r="AJ80" s="6">
        <v>3776329</v>
      </c>
      <c r="AK80" s="6">
        <v>3300809</v>
      </c>
      <c r="AL80" s="6">
        <v>3002823</v>
      </c>
      <c r="AM80" s="6">
        <v>4338972</v>
      </c>
      <c r="AN80" s="6">
        <v>1378128</v>
      </c>
      <c r="AO80" s="6">
        <v>1443695</v>
      </c>
      <c r="AP80" s="6">
        <v>3529301</v>
      </c>
      <c r="AQ80" s="6">
        <v>3309628</v>
      </c>
      <c r="AR80" s="6">
        <v>6546751</v>
      </c>
      <c r="AS80" s="6">
        <v>8498881</v>
      </c>
      <c r="AT80" s="6">
        <v>5725215</v>
      </c>
      <c r="AU80" s="6">
        <v>4922529</v>
      </c>
      <c r="AV80" s="6">
        <v>6443782</v>
      </c>
      <c r="AW80" s="6">
        <v>4929901</v>
      </c>
      <c r="AX80" s="6">
        <v>3859985</v>
      </c>
      <c r="AY80" s="6">
        <v>6658236</v>
      </c>
      <c r="AZ80" s="6">
        <v>4011645</v>
      </c>
      <c r="BA80" s="6">
        <v>4147308</v>
      </c>
      <c r="BB80" s="6">
        <v>8039907</v>
      </c>
      <c r="BC80" s="7">
        <v>6774882</v>
      </c>
      <c r="BD80" s="6">
        <v>7052118</v>
      </c>
      <c r="BE80" s="6">
        <v>8549200</v>
      </c>
      <c r="BF80" s="14">
        <v>9898874</v>
      </c>
      <c r="BG80" s="6">
        <v>17401826</v>
      </c>
      <c r="BH80" s="6">
        <v>18838852</v>
      </c>
      <c r="BI80" s="6">
        <v>24073358</v>
      </c>
      <c r="BJ80" s="6">
        <v>26583421</v>
      </c>
      <c r="BK80" s="14">
        <f>30349442-498232</f>
        <v>29851210</v>
      </c>
      <c r="BL80" s="6">
        <f>32331578-BL78</f>
        <v>31855485</v>
      </c>
      <c r="BM80" s="6">
        <v>40930314</v>
      </c>
      <c r="BN80" s="11"/>
    </row>
    <row r="81" spans="1:66" ht="21" customHeight="1">
      <c r="A81" s="5"/>
      <c r="B81" s="5"/>
      <c r="C81" s="5"/>
      <c r="D81" s="5"/>
      <c r="E81" s="5"/>
      <c r="F81" s="5"/>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5"/>
      <c r="AN81" s="5"/>
      <c r="AO81" s="5"/>
      <c r="AP81" s="5"/>
      <c r="AQ81" s="5"/>
      <c r="AR81" s="5"/>
      <c r="AS81" s="6"/>
      <c r="AT81" s="6"/>
      <c r="AU81" s="6"/>
      <c r="AV81" s="6"/>
      <c r="AW81" s="6"/>
      <c r="AX81" s="6"/>
      <c r="AY81" s="6"/>
      <c r="AZ81" s="6"/>
      <c r="BA81" s="6"/>
      <c r="BB81" s="6"/>
      <c r="BC81" s="7"/>
      <c r="BD81" s="6"/>
      <c r="BE81" s="6"/>
      <c r="BF81" s="6"/>
      <c r="BG81" s="6"/>
      <c r="BH81" s="6"/>
      <c r="BI81" s="6"/>
      <c r="BJ81" s="6"/>
      <c r="BK81" s="6"/>
      <c r="BL81" s="6"/>
      <c r="BM81" s="6"/>
      <c r="BN81" s="11"/>
    </row>
    <row r="82" spans="1:66" ht="21" customHeight="1">
      <c r="A82" s="4" t="s">
        <v>268</v>
      </c>
      <c r="B82" s="5"/>
      <c r="C82" s="5"/>
      <c r="D82" s="5"/>
      <c r="E82" s="5"/>
      <c r="F82" s="5"/>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f aca="true" t="shared" si="9" ref="AI82:BM82">SUM(AI83:AI88)</f>
        <v>139193084</v>
      </c>
      <c r="AJ82" s="28">
        <f t="shared" si="9"/>
        <v>163240961</v>
      </c>
      <c r="AK82" s="28">
        <f t="shared" si="9"/>
        <v>264383654</v>
      </c>
      <c r="AL82" s="28">
        <f t="shared" si="9"/>
        <v>330682516</v>
      </c>
      <c r="AM82" s="28">
        <f t="shared" si="9"/>
        <v>396181111</v>
      </c>
      <c r="AN82" s="28">
        <f t="shared" si="9"/>
        <v>433918019</v>
      </c>
      <c r="AO82" s="28">
        <f t="shared" si="9"/>
        <v>446378906</v>
      </c>
      <c r="AP82" s="28">
        <f t="shared" si="9"/>
        <v>460446840</v>
      </c>
      <c r="AQ82" s="28">
        <f t="shared" si="9"/>
        <v>459394341</v>
      </c>
      <c r="AR82" s="28">
        <f t="shared" si="9"/>
        <v>328733703</v>
      </c>
      <c r="AS82" s="28">
        <f t="shared" si="9"/>
        <v>299204584</v>
      </c>
      <c r="AT82" s="28">
        <f t="shared" si="9"/>
        <v>368701270</v>
      </c>
      <c r="AU82" s="28">
        <f t="shared" si="9"/>
        <v>390316565</v>
      </c>
      <c r="AV82" s="28">
        <f t="shared" si="9"/>
        <v>434205371</v>
      </c>
      <c r="AW82" s="28">
        <f t="shared" si="9"/>
        <v>474062966</v>
      </c>
      <c r="AX82" s="28">
        <f t="shared" si="9"/>
        <v>495833909</v>
      </c>
      <c r="AY82" s="28">
        <f t="shared" si="9"/>
        <v>512737902</v>
      </c>
      <c r="AZ82" s="28">
        <f t="shared" si="9"/>
        <v>516731877</v>
      </c>
      <c r="BA82" s="28">
        <f t="shared" si="9"/>
        <v>525770037</v>
      </c>
      <c r="BB82" s="28">
        <f t="shared" si="9"/>
        <v>515610467</v>
      </c>
      <c r="BC82" s="29">
        <f t="shared" si="9"/>
        <v>501565113</v>
      </c>
      <c r="BD82" s="28">
        <f t="shared" si="9"/>
        <v>489469376</v>
      </c>
      <c r="BE82" s="28">
        <f t="shared" si="9"/>
        <v>478269181</v>
      </c>
      <c r="BF82" s="28">
        <f t="shared" si="9"/>
        <v>465890943</v>
      </c>
      <c r="BG82" s="28">
        <f t="shared" si="9"/>
        <v>449092435</v>
      </c>
      <c r="BH82" s="28">
        <f t="shared" si="9"/>
        <v>435984754</v>
      </c>
      <c r="BI82" s="28">
        <f t="shared" si="9"/>
        <v>384587494</v>
      </c>
      <c r="BJ82" s="28">
        <f t="shared" si="9"/>
        <v>371531599</v>
      </c>
      <c r="BK82" s="28">
        <f t="shared" si="9"/>
        <v>356505555</v>
      </c>
      <c r="BL82" s="28">
        <f t="shared" si="9"/>
        <v>601575274</v>
      </c>
      <c r="BM82" s="28">
        <f t="shared" si="9"/>
        <v>599600000</v>
      </c>
      <c r="BN82" s="11"/>
    </row>
    <row r="83" spans="1:66" ht="21" customHeight="1">
      <c r="A83" s="5"/>
      <c r="B83" s="12"/>
      <c r="C83" s="5" t="s">
        <v>206</v>
      </c>
      <c r="D83" s="5"/>
      <c r="E83" s="5"/>
      <c r="F83" s="5"/>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v>5437276</v>
      </c>
      <c r="AJ83" s="6">
        <v>6998928</v>
      </c>
      <c r="AK83" s="6">
        <v>7032658</v>
      </c>
      <c r="AL83" s="6">
        <v>6918218</v>
      </c>
      <c r="AM83" s="6">
        <v>6177046</v>
      </c>
      <c r="AN83" s="6">
        <v>5188662</v>
      </c>
      <c r="AO83" s="6">
        <v>3650660</v>
      </c>
      <c r="AP83" s="6">
        <v>3021678</v>
      </c>
      <c r="AQ83" s="6">
        <v>2378034</v>
      </c>
      <c r="AR83" s="6">
        <v>2010161</v>
      </c>
      <c r="AS83" s="6">
        <v>1588607</v>
      </c>
      <c r="AT83" s="6">
        <v>1201488</v>
      </c>
      <c r="AU83" s="6">
        <v>930755</v>
      </c>
      <c r="AV83" s="6">
        <v>809395</v>
      </c>
      <c r="AW83" s="6">
        <v>690836</v>
      </c>
      <c r="AX83" s="6">
        <v>512578</v>
      </c>
      <c r="AY83" s="40">
        <v>442546</v>
      </c>
      <c r="AZ83" s="40">
        <v>423687</v>
      </c>
      <c r="BA83" s="41">
        <v>380346</v>
      </c>
      <c r="BB83" s="40">
        <v>180563</v>
      </c>
      <c r="BC83" s="42">
        <v>174688</v>
      </c>
      <c r="BD83" s="40">
        <v>166506</v>
      </c>
      <c r="BE83" s="40">
        <f>1363207+126810+6046+30819</f>
        <v>1526882</v>
      </c>
      <c r="BF83" s="40">
        <v>1711923</v>
      </c>
      <c r="BG83" s="40">
        <v>1702942</v>
      </c>
      <c r="BH83" s="40">
        <v>4923</v>
      </c>
      <c r="BI83" s="40"/>
      <c r="BJ83" s="40"/>
      <c r="BK83" s="40"/>
      <c r="BL83" s="40"/>
      <c r="BM83" s="40"/>
      <c r="BN83" s="11"/>
    </row>
    <row r="84" spans="1:66" ht="21" customHeight="1">
      <c r="A84" s="5"/>
      <c r="B84" s="12"/>
      <c r="C84" s="5" t="s">
        <v>269</v>
      </c>
      <c r="D84" s="5"/>
      <c r="E84" s="5"/>
      <c r="F84" s="5"/>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13">
        <v>1816892</v>
      </c>
      <c r="AJ84" s="6">
        <v>2396066</v>
      </c>
      <c r="AK84" s="6">
        <v>3072328</v>
      </c>
      <c r="AL84" s="6">
        <v>2911231</v>
      </c>
      <c r="AM84" s="6">
        <v>2979615</v>
      </c>
      <c r="AN84" s="6">
        <v>2397700</v>
      </c>
      <c r="AO84" s="6">
        <v>1517552</v>
      </c>
      <c r="AP84" s="6">
        <v>1264219</v>
      </c>
      <c r="AQ84" s="6">
        <v>986075</v>
      </c>
      <c r="AR84" s="6">
        <v>759803</v>
      </c>
      <c r="AS84" s="6">
        <v>671034</v>
      </c>
      <c r="AT84" s="6">
        <v>546897</v>
      </c>
      <c r="AU84" s="6">
        <v>386978</v>
      </c>
      <c r="AV84" s="6">
        <v>336348</v>
      </c>
      <c r="AW84" s="6">
        <v>278205</v>
      </c>
      <c r="AX84" s="6">
        <v>282294</v>
      </c>
      <c r="AY84" s="40">
        <v>274284</v>
      </c>
      <c r="AZ84" s="40">
        <v>245971</v>
      </c>
      <c r="BA84" s="41">
        <v>228631</v>
      </c>
      <c r="BB84" s="40">
        <v>222058</v>
      </c>
      <c r="BC84" s="42">
        <v>225241</v>
      </c>
      <c r="BD84" s="40">
        <v>179961</v>
      </c>
      <c r="BE84" s="40">
        <f>23419+111267+935+29256</f>
        <v>164877</v>
      </c>
      <c r="BF84" s="40">
        <v>21834</v>
      </c>
      <c r="BG84" s="40">
        <v>21834</v>
      </c>
      <c r="BH84" s="40">
        <v>24316</v>
      </c>
      <c r="BI84" s="40"/>
      <c r="BJ84" s="40"/>
      <c r="BK84" s="40"/>
      <c r="BL84" s="40"/>
      <c r="BM84" s="40"/>
      <c r="BN84" s="11"/>
    </row>
    <row r="85" spans="1:66" ht="21" customHeight="1">
      <c r="A85" s="5"/>
      <c r="B85" s="12"/>
      <c r="C85" s="114" t="s">
        <v>270</v>
      </c>
      <c r="D85" s="115"/>
      <c r="E85" s="115"/>
      <c r="F85" s="11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13"/>
      <c r="AJ85" s="6"/>
      <c r="AK85" s="6"/>
      <c r="AL85" s="6"/>
      <c r="AM85" s="6"/>
      <c r="AN85" s="6"/>
      <c r="AO85" s="6"/>
      <c r="AP85" s="6"/>
      <c r="AQ85" s="6"/>
      <c r="AR85" s="6"/>
      <c r="AS85" s="6"/>
      <c r="AT85" s="6"/>
      <c r="AU85" s="6"/>
      <c r="AV85" s="6"/>
      <c r="AW85" s="6"/>
      <c r="AX85" s="6"/>
      <c r="AY85" s="40"/>
      <c r="AZ85" s="40"/>
      <c r="BA85" s="41"/>
      <c r="BB85" s="40"/>
      <c r="BC85" s="42"/>
      <c r="BD85" s="40"/>
      <c r="BE85" s="40"/>
      <c r="BF85" s="40">
        <v>1102565</v>
      </c>
      <c r="BG85" s="40">
        <v>717598</v>
      </c>
      <c r="BH85" s="40">
        <v>404884</v>
      </c>
      <c r="BI85" s="40">
        <v>362516</v>
      </c>
      <c r="BJ85" s="40">
        <f>196725+41987+176085</f>
        <v>414797</v>
      </c>
      <c r="BK85" s="40"/>
      <c r="BL85" s="40"/>
      <c r="BM85" s="40"/>
      <c r="BN85" s="11"/>
    </row>
    <row r="86" spans="1:66" ht="21" customHeight="1">
      <c r="A86" s="5"/>
      <c r="B86" s="12"/>
      <c r="C86" s="39" t="s">
        <v>271</v>
      </c>
      <c r="D86" s="39"/>
      <c r="E86" s="39"/>
      <c r="F86" s="39"/>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v>0</v>
      </c>
      <c r="AI86" s="6">
        <v>129500000</v>
      </c>
      <c r="AJ86" s="6">
        <v>150900000</v>
      </c>
      <c r="AK86" s="6">
        <v>252000000</v>
      </c>
      <c r="AL86" s="6">
        <v>318000000</v>
      </c>
      <c r="AM86" s="6">
        <v>385000000</v>
      </c>
      <c r="AN86" s="6">
        <v>425000000</v>
      </c>
      <c r="AO86" s="6">
        <v>440000000</v>
      </c>
      <c r="AP86" s="6">
        <v>455000000</v>
      </c>
      <c r="AQ86" s="6">
        <v>455000000</v>
      </c>
      <c r="AR86" s="6">
        <v>325000000</v>
      </c>
      <c r="AS86" s="6">
        <v>296000000</v>
      </c>
      <c r="AT86" s="6">
        <v>366000000</v>
      </c>
      <c r="AU86" s="6">
        <v>388000000</v>
      </c>
      <c r="AV86" s="6">
        <v>432000000</v>
      </c>
      <c r="AW86" s="6">
        <v>472000000</v>
      </c>
      <c r="AX86" s="6">
        <v>494000000</v>
      </c>
      <c r="AY86" s="6">
        <v>511000000</v>
      </c>
      <c r="AZ86" s="6">
        <v>515000000</v>
      </c>
      <c r="BA86" s="6">
        <v>524000000</v>
      </c>
      <c r="BB86" s="6">
        <v>514000000</v>
      </c>
      <c r="BC86" s="7">
        <v>500000000</v>
      </c>
      <c r="BD86" s="6">
        <v>488000000</v>
      </c>
      <c r="BE86" s="6">
        <f>193926000+281074000</f>
        <v>475000000</v>
      </c>
      <c r="BF86" s="6">
        <v>462000000</v>
      </c>
      <c r="BG86" s="6">
        <v>445625350</v>
      </c>
      <c r="BH86" s="6">
        <v>435000000</v>
      </c>
      <c r="BI86" s="6">
        <v>384000000</v>
      </c>
      <c r="BJ86" s="6">
        <v>371000000</v>
      </c>
      <c r="BK86" s="6">
        <v>356000000</v>
      </c>
      <c r="BL86" s="6">
        <v>421700000</v>
      </c>
      <c r="BM86" s="6">
        <v>427500000</v>
      </c>
      <c r="BN86" s="11"/>
    </row>
    <row r="87" spans="1:66" ht="21" customHeight="1">
      <c r="A87" s="5"/>
      <c r="B87" s="12"/>
      <c r="C87" s="39" t="s">
        <v>272</v>
      </c>
      <c r="D87" s="39"/>
      <c r="E87" s="39"/>
      <c r="F87" s="39"/>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7"/>
      <c r="BD87" s="6"/>
      <c r="BE87" s="6"/>
      <c r="BF87" s="6"/>
      <c r="BG87" s="6"/>
      <c r="BH87" s="6"/>
      <c r="BI87" s="6"/>
      <c r="BJ87" s="6"/>
      <c r="BK87" s="6"/>
      <c r="BL87" s="6">
        <v>179400000</v>
      </c>
      <c r="BM87" s="6">
        <v>172100000</v>
      </c>
      <c r="BN87" s="11"/>
    </row>
    <row r="88" spans="1:66" ht="21" customHeight="1">
      <c r="A88" s="5"/>
      <c r="B88" s="12"/>
      <c r="C88" s="5" t="s">
        <v>273</v>
      </c>
      <c r="D88" s="5"/>
      <c r="E88" s="5"/>
      <c r="F88" s="5"/>
      <c r="G88" s="6">
        <f>G91-G90</f>
        <v>2468226</v>
      </c>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13">
        <v>2438916</v>
      </c>
      <c r="AJ88" s="6">
        <v>2945967</v>
      </c>
      <c r="AK88" s="6">
        <v>2278668</v>
      </c>
      <c r="AL88" s="6">
        <v>2853067</v>
      </c>
      <c r="AM88" s="6">
        <v>2024450</v>
      </c>
      <c r="AN88" s="6">
        <v>1331657</v>
      </c>
      <c r="AO88" s="6">
        <v>1210694</v>
      </c>
      <c r="AP88" s="6">
        <v>1160943</v>
      </c>
      <c r="AQ88" s="6">
        <v>1030232</v>
      </c>
      <c r="AR88" s="6">
        <v>963739</v>
      </c>
      <c r="AS88" s="6">
        <v>944943</v>
      </c>
      <c r="AT88" s="6">
        <v>952885</v>
      </c>
      <c r="AU88" s="6">
        <v>998832</v>
      </c>
      <c r="AV88" s="6">
        <v>1059628</v>
      </c>
      <c r="AW88" s="6">
        <v>1093925</v>
      </c>
      <c r="AX88" s="6">
        <v>1039037</v>
      </c>
      <c r="AY88" s="6">
        <v>1021072</v>
      </c>
      <c r="AZ88" s="6">
        <v>1062219</v>
      </c>
      <c r="BA88" s="6">
        <v>1161060</v>
      </c>
      <c r="BB88" s="6">
        <v>1207846</v>
      </c>
      <c r="BC88" s="7">
        <v>1165184</v>
      </c>
      <c r="BD88" s="6">
        <v>1122909</v>
      </c>
      <c r="BE88" s="6">
        <f>1319908+257514</f>
        <v>1577422</v>
      </c>
      <c r="BF88" s="6">
        <v>1054621</v>
      </c>
      <c r="BG88" s="6">
        <v>1024711</v>
      </c>
      <c r="BH88" s="6">
        <v>550631</v>
      </c>
      <c r="BI88" s="6">
        <v>224978</v>
      </c>
      <c r="BJ88" s="6">
        <f>77851+38951</f>
        <v>116802</v>
      </c>
      <c r="BK88" s="6">
        <v>505555</v>
      </c>
      <c r="BL88" s="6">
        <v>475274</v>
      </c>
      <c r="BM88" s="6"/>
      <c r="BN88" s="11"/>
    </row>
    <row r="89" spans="1:66" ht="21" customHeight="1">
      <c r="A89" s="5"/>
      <c r="B89" s="5"/>
      <c r="C89" s="5"/>
      <c r="D89" s="5"/>
      <c r="E89" s="5"/>
      <c r="F89" s="5"/>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5"/>
      <c r="AN89" s="5"/>
      <c r="AO89" s="5"/>
      <c r="AP89" s="5"/>
      <c r="AQ89" s="5"/>
      <c r="AR89" s="5"/>
      <c r="AS89" s="6"/>
      <c r="AT89" s="6"/>
      <c r="AU89" s="6"/>
      <c r="AV89" s="6"/>
      <c r="AW89" s="6"/>
      <c r="AX89" s="6"/>
      <c r="AY89" s="6"/>
      <c r="AZ89" s="6"/>
      <c r="BA89" s="6"/>
      <c r="BB89" s="6"/>
      <c r="BC89" s="7"/>
      <c r="BD89" s="6"/>
      <c r="BE89" s="6"/>
      <c r="BF89" s="6"/>
      <c r="BG89" s="6"/>
      <c r="BH89" s="6"/>
      <c r="BI89" s="6"/>
      <c r="BJ89" s="6"/>
      <c r="BK89" s="6"/>
      <c r="BL89" s="6"/>
      <c r="BM89" s="6"/>
      <c r="BN89" s="11"/>
    </row>
    <row r="90" spans="1:66" ht="21" customHeight="1">
      <c r="A90" s="5"/>
      <c r="B90" s="5"/>
      <c r="C90" s="5"/>
      <c r="D90" s="5"/>
      <c r="E90" s="5"/>
      <c r="F90" s="31"/>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5"/>
      <c r="AN90" s="5"/>
      <c r="AO90" s="5"/>
      <c r="AP90" s="5"/>
      <c r="AQ90" s="5"/>
      <c r="AR90" s="5"/>
      <c r="AS90" s="6"/>
      <c r="AT90" s="6"/>
      <c r="AU90" s="6"/>
      <c r="AV90" s="6"/>
      <c r="AW90" s="6"/>
      <c r="AX90" s="6"/>
      <c r="AY90" s="6"/>
      <c r="AZ90" s="6"/>
      <c r="BA90" s="6"/>
      <c r="BB90" s="6"/>
      <c r="BC90" s="7"/>
      <c r="BD90" s="6">
        <v>163775882</v>
      </c>
      <c r="BE90" s="43">
        <f>149958964+24571363</f>
        <v>174530327</v>
      </c>
      <c r="BF90" s="6">
        <v>177155080</v>
      </c>
      <c r="BG90" s="6">
        <v>179325485</v>
      </c>
      <c r="BH90" s="6">
        <v>165112066</v>
      </c>
      <c r="BI90" s="6">
        <v>160013663</v>
      </c>
      <c r="BJ90" s="6">
        <v>148525722</v>
      </c>
      <c r="BK90" s="6">
        <v>140087757</v>
      </c>
      <c r="BL90" s="6">
        <v>134281605</v>
      </c>
      <c r="BM90" s="6">
        <v>128252079</v>
      </c>
      <c r="BN90" s="11"/>
    </row>
    <row r="91" spans="1:66" ht="21" customHeight="1">
      <c r="A91" s="44" t="s">
        <v>274</v>
      </c>
      <c r="B91" s="5"/>
      <c r="C91" s="5"/>
      <c r="D91" s="5"/>
      <c r="E91" s="5"/>
      <c r="F91" s="31"/>
      <c r="G91" s="45">
        <f>G92+SUM(G124:G141)</f>
        <v>2468226</v>
      </c>
      <c r="H91" s="45">
        <f aca="true" t="shared" si="10" ref="H91:N91">H92+SUM(H124:H141)</f>
        <v>8352414</v>
      </c>
      <c r="I91" s="45">
        <f t="shared" si="10"/>
        <v>3842375</v>
      </c>
      <c r="J91" s="45">
        <f t="shared" si="10"/>
        <v>3222540</v>
      </c>
      <c r="K91" s="45">
        <f t="shared" si="10"/>
        <v>3698443</v>
      </c>
      <c r="L91" s="45">
        <f t="shared" si="10"/>
        <v>4347741</v>
      </c>
      <c r="M91" s="45">
        <f t="shared" si="10"/>
        <v>4385720</v>
      </c>
      <c r="N91" s="45">
        <f t="shared" si="10"/>
        <v>4898360</v>
      </c>
      <c r="O91" s="45">
        <v>5570337</v>
      </c>
      <c r="P91" s="45">
        <f aca="true" t="shared" si="11" ref="P91:BM91">P92+SUM(P124:P138)</f>
        <v>5882388</v>
      </c>
      <c r="Q91" s="45">
        <f t="shared" si="11"/>
        <v>9734584</v>
      </c>
      <c r="R91" s="45">
        <f t="shared" si="11"/>
        <v>11134052</v>
      </c>
      <c r="S91" s="45">
        <f t="shared" si="11"/>
        <v>15231462</v>
      </c>
      <c r="T91" s="45">
        <f t="shared" si="11"/>
        <v>22247302</v>
      </c>
      <c r="U91" s="45">
        <f t="shared" si="11"/>
        <v>24693298</v>
      </c>
      <c r="V91" s="45">
        <f t="shared" si="11"/>
        <v>29421517</v>
      </c>
      <c r="W91" s="45">
        <f t="shared" si="11"/>
        <v>39094624</v>
      </c>
      <c r="X91" s="45">
        <f t="shared" si="11"/>
        <v>31521026</v>
      </c>
      <c r="Y91" s="45">
        <f t="shared" si="11"/>
        <v>38069569</v>
      </c>
      <c r="Z91" s="45">
        <f t="shared" si="11"/>
        <v>35907921</v>
      </c>
      <c r="AA91" s="45">
        <f t="shared" si="11"/>
        <v>30440889</v>
      </c>
      <c r="AB91" s="45">
        <f t="shared" si="11"/>
        <v>32328633</v>
      </c>
      <c r="AC91" s="45">
        <f t="shared" si="11"/>
        <v>41713913</v>
      </c>
      <c r="AD91" s="45">
        <f t="shared" si="11"/>
        <v>79224303</v>
      </c>
      <c r="AE91" s="45">
        <f t="shared" si="11"/>
        <v>95048922</v>
      </c>
      <c r="AF91" s="45">
        <f t="shared" si="11"/>
        <v>105467747</v>
      </c>
      <c r="AG91" s="45">
        <f t="shared" si="11"/>
        <v>95572980</v>
      </c>
      <c r="AH91" s="45">
        <f t="shared" si="11"/>
        <v>96821352</v>
      </c>
      <c r="AI91" s="45">
        <f t="shared" si="11"/>
        <v>101509652</v>
      </c>
      <c r="AJ91" s="45">
        <f t="shared" si="11"/>
        <v>109555867</v>
      </c>
      <c r="AK91" s="45">
        <f t="shared" si="11"/>
        <v>116556972</v>
      </c>
      <c r="AL91" s="45">
        <f t="shared" si="11"/>
        <v>120275795</v>
      </c>
      <c r="AM91" s="45">
        <f t="shared" si="11"/>
        <v>125977575</v>
      </c>
      <c r="AN91" s="45">
        <f t="shared" si="11"/>
        <v>124249577</v>
      </c>
      <c r="AO91" s="45">
        <f t="shared" si="11"/>
        <v>106335003</v>
      </c>
      <c r="AP91" s="45">
        <f t="shared" si="11"/>
        <v>100524110</v>
      </c>
      <c r="AQ91" s="45">
        <f t="shared" si="11"/>
        <v>99887264</v>
      </c>
      <c r="AR91" s="45">
        <f t="shared" si="11"/>
        <v>105375641</v>
      </c>
      <c r="AS91" s="45">
        <f t="shared" si="11"/>
        <v>105332023</v>
      </c>
      <c r="AT91" s="45">
        <f t="shared" si="11"/>
        <v>109078862</v>
      </c>
      <c r="AU91" s="45">
        <f t="shared" si="11"/>
        <v>115607427</v>
      </c>
      <c r="AV91" s="45">
        <f t="shared" si="11"/>
        <v>126212461</v>
      </c>
      <c r="AW91" s="45">
        <f t="shared" si="11"/>
        <v>145639674</v>
      </c>
      <c r="AX91" s="45">
        <f t="shared" si="11"/>
        <v>149738223</v>
      </c>
      <c r="AY91" s="45">
        <f t="shared" si="11"/>
        <v>153034221</v>
      </c>
      <c r="AZ91" s="45">
        <f t="shared" si="11"/>
        <v>162257625</v>
      </c>
      <c r="BA91" s="45">
        <f t="shared" si="11"/>
        <v>165356438</v>
      </c>
      <c r="BB91" s="45">
        <f t="shared" si="11"/>
        <v>168694939</v>
      </c>
      <c r="BC91" s="46">
        <f t="shared" si="11"/>
        <v>162175040</v>
      </c>
      <c r="BD91" s="45">
        <f t="shared" si="11"/>
        <v>170315675</v>
      </c>
      <c r="BE91" s="45">
        <f t="shared" si="11"/>
        <v>174530327</v>
      </c>
      <c r="BF91" s="45">
        <f t="shared" si="11"/>
        <v>177155080</v>
      </c>
      <c r="BG91" s="45">
        <f t="shared" si="11"/>
        <v>179325485</v>
      </c>
      <c r="BH91" s="45">
        <f t="shared" si="11"/>
        <v>165112066</v>
      </c>
      <c r="BI91" s="45">
        <f t="shared" si="11"/>
        <v>160013663</v>
      </c>
      <c r="BJ91" s="45">
        <f t="shared" si="11"/>
        <v>148525722</v>
      </c>
      <c r="BK91" s="45">
        <f t="shared" si="11"/>
        <v>140087757</v>
      </c>
      <c r="BL91" s="45">
        <f t="shared" si="11"/>
        <v>134281605</v>
      </c>
      <c r="BM91" s="45">
        <f t="shared" si="11"/>
        <v>128252079</v>
      </c>
      <c r="BN91" s="11"/>
    </row>
    <row r="92" spans="1:66" ht="21" customHeight="1">
      <c r="A92" s="5"/>
      <c r="B92" s="47"/>
      <c r="C92" s="5" t="s">
        <v>275</v>
      </c>
      <c r="D92" s="5"/>
      <c r="E92" s="5"/>
      <c r="F92" s="31"/>
      <c r="G92" s="9">
        <v>1016848</v>
      </c>
      <c r="H92" s="9">
        <v>6902461</v>
      </c>
      <c r="I92" s="9">
        <v>2123059</v>
      </c>
      <c r="J92" s="9">
        <v>2286500</v>
      </c>
      <c r="K92" s="9">
        <v>2685956</v>
      </c>
      <c r="L92" s="9">
        <v>3224127</v>
      </c>
      <c r="M92" s="9">
        <v>3498635</v>
      </c>
      <c r="N92" s="10">
        <v>3910389</v>
      </c>
      <c r="O92" s="9">
        <v>4734251</v>
      </c>
      <c r="P92" s="9">
        <f aca="true" t="shared" si="12" ref="P92:BM92">SUM(P93:P123)</f>
        <v>5073690</v>
      </c>
      <c r="Q92" s="9">
        <f t="shared" si="12"/>
        <v>6018030</v>
      </c>
      <c r="R92" s="9">
        <f t="shared" si="12"/>
        <v>6470231</v>
      </c>
      <c r="S92" s="9">
        <f t="shared" si="12"/>
        <v>7357796</v>
      </c>
      <c r="T92" s="9">
        <f t="shared" si="12"/>
        <v>8309585</v>
      </c>
      <c r="U92" s="9">
        <f t="shared" si="12"/>
        <v>10217400</v>
      </c>
      <c r="V92" s="9">
        <f t="shared" si="12"/>
        <v>11182619</v>
      </c>
      <c r="W92" s="9">
        <f t="shared" si="12"/>
        <v>14676729</v>
      </c>
      <c r="X92" s="9">
        <f t="shared" si="12"/>
        <v>19730972</v>
      </c>
      <c r="Y92" s="9">
        <f t="shared" si="12"/>
        <v>30318105</v>
      </c>
      <c r="Z92" s="9">
        <f t="shared" si="12"/>
        <v>28046659</v>
      </c>
      <c r="AA92" s="9">
        <f t="shared" si="12"/>
        <v>20031256</v>
      </c>
      <c r="AB92" s="9">
        <f t="shared" si="12"/>
        <v>21324657</v>
      </c>
      <c r="AC92" s="9">
        <f t="shared" si="12"/>
        <v>24389238</v>
      </c>
      <c r="AD92" s="9">
        <f t="shared" si="12"/>
        <v>48713712</v>
      </c>
      <c r="AE92" s="9">
        <f t="shared" si="12"/>
        <v>57754889</v>
      </c>
      <c r="AF92" s="9">
        <f t="shared" si="12"/>
        <v>61351358</v>
      </c>
      <c r="AG92" s="9">
        <f t="shared" si="12"/>
        <v>56524962</v>
      </c>
      <c r="AH92" s="9">
        <f t="shared" si="12"/>
        <v>57040778</v>
      </c>
      <c r="AI92" s="9">
        <f t="shared" si="12"/>
        <v>59572927</v>
      </c>
      <c r="AJ92" s="9">
        <f t="shared" si="12"/>
        <v>62499153</v>
      </c>
      <c r="AK92" s="9">
        <f t="shared" si="12"/>
        <v>65299584</v>
      </c>
      <c r="AL92" s="9">
        <f t="shared" si="12"/>
        <v>67840287</v>
      </c>
      <c r="AM92" s="9">
        <f t="shared" si="12"/>
        <v>70422191</v>
      </c>
      <c r="AN92" s="9">
        <f t="shared" si="12"/>
        <v>70858215</v>
      </c>
      <c r="AO92" s="9">
        <f t="shared" si="12"/>
        <v>71746345</v>
      </c>
      <c r="AP92" s="9">
        <f t="shared" si="12"/>
        <v>72879221</v>
      </c>
      <c r="AQ92" s="9">
        <f t="shared" si="12"/>
        <v>74524788</v>
      </c>
      <c r="AR92" s="9">
        <f t="shared" si="12"/>
        <v>80005748</v>
      </c>
      <c r="AS92" s="9">
        <f t="shared" si="12"/>
        <v>80399198</v>
      </c>
      <c r="AT92" s="9">
        <f t="shared" si="12"/>
        <v>84525338</v>
      </c>
      <c r="AU92" s="9">
        <f t="shared" si="12"/>
        <v>93125361</v>
      </c>
      <c r="AV92" s="9">
        <f t="shared" si="12"/>
        <v>104494564</v>
      </c>
      <c r="AW92" s="9">
        <f t="shared" si="12"/>
        <v>123671861</v>
      </c>
      <c r="AX92" s="9">
        <f t="shared" si="12"/>
        <v>128514187</v>
      </c>
      <c r="AY92" s="9">
        <f t="shared" si="12"/>
        <v>131910277</v>
      </c>
      <c r="AZ92" s="9">
        <f t="shared" si="12"/>
        <v>136552507</v>
      </c>
      <c r="BA92" s="9">
        <f t="shared" si="12"/>
        <v>137336067</v>
      </c>
      <c r="BB92" s="9">
        <f t="shared" si="12"/>
        <v>144213072</v>
      </c>
      <c r="BC92" s="10">
        <f t="shared" si="12"/>
        <v>138029015</v>
      </c>
      <c r="BD92" s="9">
        <f t="shared" si="12"/>
        <v>143915364</v>
      </c>
      <c r="BE92" s="9">
        <f t="shared" si="12"/>
        <v>140190923</v>
      </c>
      <c r="BF92" s="9">
        <f t="shared" si="12"/>
        <v>140137020</v>
      </c>
      <c r="BG92" s="9">
        <f t="shared" si="12"/>
        <v>142278184</v>
      </c>
      <c r="BH92" s="9">
        <f t="shared" si="12"/>
        <v>140240406</v>
      </c>
      <c r="BI92" s="9">
        <f t="shared" si="12"/>
        <v>140602724</v>
      </c>
      <c r="BJ92" s="9">
        <f t="shared" si="12"/>
        <v>128845983</v>
      </c>
      <c r="BK92" s="9">
        <f t="shared" si="12"/>
        <v>120515953</v>
      </c>
      <c r="BL92" s="9">
        <f t="shared" si="12"/>
        <v>118201425</v>
      </c>
      <c r="BM92" s="9">
        <f t="shared" si="12"/>
        <v>112032319</v>
      </c>
      <c r="BN92" s="11"/>
    </row>
    <row r="93" spans="1:73" ht="21" customHeight="1">
      <c r="A93" s="5"/>
      <c r="B93" s="5"/>
      <c r="C93" s="12"/>
      <c r="D93" s="5" t="s">
        <v>276</v>
      </c>
      <c r="E93" s="5"/>
      <c r="F93" s="31"/>
      <c r="G93" s="48">
        <v>773055</v>
      </c>
      <c r="H93" s="48">
        <v>820402</v>
      </c>
      <c r="I93" s="48">
        <v>639924</v>
      </c>
      <c r="J93" s="48">
        <v>1957235</v>
      </c>
      <c r="K93" s="48">
        <v>2229851</v>
      </c>
      <c r="L93" s="48">
        <v>2154223</v>
      </c>
      <c r="M93" s="48">
        <v>2247436</v>
      </c>
      <c r="N93" s="49">
        <v>2433077</v>
      </c>
      <c r="O93" s="6">
        <v>2704624</v>
      </c>
      <c r="P93" s="48">
        <v>2877384</v>
      </c>
      <c r="Q93" s="48">
        <v>3115355</v>
      </c>
      <c r="R93" s="48">
        <v>3756653</v>
      </c>
      <c r="S93" s="48">
        <v>4178074</v>
      </c>
      <c r="T93" s="48">
        <v>4414036</v>
      </c>
      <c r="U93" s="48">
        <v>5157158</v>
      </c>
      <c r="V93" s="48">
        <v>5798148</v>
      </c>
      <c r="W93" s="48">
        <v>6465280</v>
      </c>
      <c r="X93" s="48">
        <v>7134751</v>
      </c>
      <c r="Y93" s="48">
        <v>7568409</v>
      </c>
      <c r="Z93" s="48">
        <v>8812831</v>
      </c>
      <c r="AA93" s="48">
        <v>10288247</v>
      </c>
      <c r="AB93" s="48">
        <v>12346427</v>
      </c>
      <c r="AC93" s="50">
        <v>14124105</v>
      </c>
      <c r="AD93" s="6">
        <v>18746146</v>
      </c>
      <c r="AE93" s="48">
        <v>23049298</v>
      </c>
      <c r="AF93" s="48">
        <v>31653981</v>
      </c>
      <c r="AG93" s="48">
        <v>33070195</v>
      </c>
      <c r="AH93" s="48">
        <v>36020278</v>
      </c>
      <c r="AI93" s="48">
        <v>39601236</v>
      </c>
      <c r="AJ93" s="48">
        <v>42007008</v>
      </c>
      <c r="AK93" s="6">
        <v>43201524</v>
      </c>
      <c r="AL93" s="13">
        <v>44058837</v>
      </c>
      <c r="AM93" s="13">
        <v>45756349</v>
      </c>
      <c r="AN93" s="6">
        <v>45961843</v>
      </c>
      <c r="AO93" s="6">
        <v>46963960</v>
      </c>
      <c r="AP93" s="6">
        <v>48370048</v>
      </c>
      <c r="AQ93" s="6">
        <v>50563699</v>
      </c>
      <c r="AR93" s="6">
        <v>53137334</v>
      </c>
      <c r="AS93" s="6">
        <v>53881119</v>
      </c>
      <c r="AT93" s="6">
        <v>53742060</v>
      </c>
      <c r="AU93" s="6">
        <v>55717573</v>
      </c>
      <c r="AV93" s="6">
        <v>57911383</v>
      </c>
      <c r="AW93" s="6">
        <v>60840821</v>
      </c>
      <c r="AX93" s="6">
        <v>62760694</v>
      </c>
      <c r="AY93" s="6">
        <v>64111913</v>
      </c>
      <c r="AZ93" s="6">
        <v>66072169</v>
      </c>
      <c r="BA93" s="6">
        <v>66908020</v>
      </c>
      <c r="BB93" s="6">
        <v>68336647</v>
      </c>
      <c r="BC93" s="7">
        <v>68235711</v>
      </c>
      <c r="BD93" s="6">
        <v>70159504</v>
      </c>
      <c r="BE93" s="14">
        <v>71014304</v>
      </c>
      <c r="BF93" s="6">
        <f>42372273+17094711+2387542+3219507+1634270+1744723</f>
        <v>68453026</v>
      </c>
      <c r="BG93" s="14">
        <v>68086453</v>
      </c>
      <c r="BH93" s="51">
        <v>66552633</v>
      </c>
      <c r="BI93" s="51">
        <v>63212154</v>
      </c>
      <c r="BJ93" s="51">
        <v>62468456</v>
      </c>
      <c r="BK93" s="51">
        <v>62855141</v>
      </c>
      <c r="BL93" s="51">
        <v>62597013</v>
      </c>
      <c r="BM93" s="51">
        <v>60405972</v>
      </c>
      <c r="BN93" s="11"/>
      <c r="BO93" s="11"/>
      <c r="BP93" s="11"/>
      <c r="BQ93" s="52"/>
      <c r="BR93" s="52"/>
      <c r="BS93" s="52"/>
      <c r="BT93" s="11"/>
      <c r="BU93" s="11"/>
    </row>
    <row r="94" spans="1:73" ht="21" customHeight="1">
      <c r="A94" s="5"/>
      <c r="B94" s="5"/>
      <c r="C94" s="5"/>
      <c r="D94" s="12" t="s">
        <v>277</v>
      </c>
      <c r="E94" s="5"/>
      <c r="F94" s="5"/>
      <c r="G94" s="48">
        <v>138127</v>
      </c>
      <c r="H94" s="48">
        <v>5974320</v>
      </c>
      <c r="I94" s="48">
        <v>1276713</v>
      </c>
      <c r="J94" s="48">
        <v>208835</v>
      </c>
      <c r="K94" s="48">
        <v>346305</v>
      </c>
      <c r="L94" s="48">
        <v>937582</v>
      </c>
      <c r="M94" s="48">
        <v>1085103</v>
      </c>
      <c r="N94" s="49">
        <v>1043032</v>
      </c>
      <c r="O94" s="6"/>
      <c r="P94" s="48"/>
      <c r="Q94" s="48"/>
      <c r="R94" s="48"/>
      <c r="S94" s="48"/>
      <c r="T94" s="48"/>
      <c r="U94" s="48"/>
      <c r="V94" s="48"/>
      <c r="W94" s="48"/>
      <c r="X94" s="48"/>
      <c r="Y94" s="48"/>
      <c r="Z94" s="48"/>
      <c r="AA94" s="48"/>
      <c r="AB94" s="48"/>
      <c r="AC94" s="48"/>
      <c r="AD94" s="6"/>
      <c r="AE94" s="48"/>
      <c r="AF94" s="48"/>
      <c r="AG94" s="48"/>
      <c r="AH94" s="48"/>
      <c r="AI94" s="48"/>
      <c r="AJ94" s="48"/>
      <c r="AK94" s="6"/>
      <c r="AL94" s="6"/>
      <c r="AM94" s="6"/>
      <c r="AN94" s="6"/>
      <c r="AO94" s="6"/>
      <c r="AP94" s="6"/>
      <c r="AQ94" s="6"/>
      <c r="AR94" s="6"/>
      <c r="AS94" s="6"/>
      <c r="AT94" s="6"/>
      <c r="AU94" s="6"/>
      <c r="AV94" s="6"/>
      <c r="AW94" s="6"/>
      <c r="AX94" s="6"/>
      <c r="AY94" s="6"/>
      <c r="AZ94" s="6"/>
      <c r="BA94" s="6"/>
      <c r="BB94" s="6"/>
      <c r="BC94" s="7"/>
      <c r="BD94" s="6"/>
      <c r="BE94" s="14"/>
      <c r="BF94" s="6"/>
      <c r="BG94" s="6"/>
      <c r="BH94" s="6"/>
      <c r="BI94" s="6"/>
      <c r="BJ94" s="6"/>
      <c r="BK94" s="6"/>
      <c r="BL94" s="6"/>
      <c r="BM94" s="6"/>
      <c r="BN94" s="11"/>
      <c r="BO94" s="11"/>
      <c r="BP94" s="11"/>
      <c r="BQ94" s="52"/>
      <c r="BR94" s="52"/>
      <c r="BS94" s="52"/>
      <c r="BT94" s="11"/>
      <c r="BU94" s="11"/>
    </row>
    <row r="95" spans="1:73" ht="21" customHeight="1">
      <c r="A95" s="5"/>
      <c r="B95" s="5"/>
      <c r="C95" s="5"/>
      <c r="D95" s="12"/>
      <c r="E95" s="5" t="s">
        <v>278</v>
      </c>
      <c r="F95" s="5"/>
      <c r="G95" s="48"/>
      <c r="H95" s="6"/>
      <c r="I95" s="6"/>
      <c r="J95" s="6"/>
      <c r="K95" s="6"/>
      <c r="L95" s="6"/>
      <c r="M95" s="6"/>
      <c r="N95" s="7"/>
      <c r="O95" s="6">
        <v>885100</v>
      </c>
      <c r="P95" s="6">
        <v>1083037</v>
      </c>
      <c r="Q95" s="6">
        <v>1362570</v>
      </c>
      <c r="R95" s="6">
        <v>1541702</v>
      </c>
      <c r="S95" s="6">
        <v>1770309</v>
      </c>
      <c r="T95" s="6">
        <v>2157156</v>
      </c>
      <c r="U95" s="6">
        <v>3128454</v>
      </c>
      <c r="V95" s="6">
        <v>3244214</v>
      </c>
      <c r="W95" s="6">
        <f>5647937-300000</f>
        <v>5347937</v>
      </c>
      <c r="X95" s="6">
        <v>4317444</v>
      </c>
      <c r="Y95" s="6">
        <v>4252296</v>
      </c>
      <c r="Z95" s="6">
        <v>4553653</v>
      </c>
      <c r="AA95" s="6">
        <v>4974433</v>
      </c>
      <c r="AB95" s="6">
        <v>5484516</v>
      </c>
      <c r="AC95" s="6">
        <v>5623313</v>
      </c>
      <c r="AD95" s="6">
        <v>6288233</v>
      </c>
      <c r="AE95" s="48">
        <v>7124600</v>
      </c>
      <c r="AF95" s="48">
        <v>8524160</v>
      </c>
      <c r="AG95" s="48">
        <v>9129600</v>
      </c>
      <c r="AH95" s="48">
        <v>9448919</v>
      </c>
      <c r="AI95" s="48">
        <v>9803397</v>
      </c>
      <c r="AJ95" s="48">
        <v>9550156</v>
      </c>
      <c r="AK95" s="6">
        <v>10358931</v>
      </c>
      <c r="AL95" s="6">
        <v>10832403</v>
      </c>
      <c r="AM95" s="6">
        <v>11820850</v>
      </c>
      <c r="AN95" s="6">
        <v>12656980</v>
      </c>
      <c r="AO95" s="6">
        <v>12712553</v>
      </c>
      <c r="AP95" s="6">
        <v>13026235</v>
      </c>
      <c r="AQ95" s="6">
        <v>12939838</v>
      </c>
      <c r="AR95" s="6">
        <v>12881987</v>
      </c>
      <c r="AS95" s="6">
        <v>12933353</v>
      </c>
      <c r="AT95" s="6">
        <v>12962248</v>
      </c>
      <c r="AU95" s="6">
        <v>17165663</v>
      </c>
      <c r="AV95" s="6">
        <v>18481939</v>
      </c>
      <c r="AW95" s="6">
        <v>21278025</v>
      </c>
      <c r="AX95" s="6">
        <v>21738040</v>
      </c>
      <c r="AY95" s="6">
        <v>22381313</v>
      </c>
      <c r="AZ95" s="6">
        <v>22789974</v>
      </c>
      <c r="BA95" s="6">
        <v>23202641</v>
      </c>
      <c r="BB95" s="6">
        <v>23911873</v>
      </c>
      <c r="BC95" s="7">
        <v>24470786</v>
      </c>
      <c r="BD95" s="6">
        <v>24953453</v>
      </c>
      <c r="BE95" s="14">
        <v>24995455</v>
      </c>
      <c r="BF95" s="6">
        <v>23212249</v>
      </c>
      <c r="BG95" s="6">
        <v>21961917</v>
      </c>
      <c r="BH95" s="51">
        <v>9421231</v>
      </c>
      <c r="BI95" s="6"/>
      <c r="BJ95" s="6"/>
      <c r="BK95" s="6"/>
      <c r="BL95" s="6"/>
      <c r="BM95" s="6"/>
      <c r="BN95" s="11"/>
      <c r="BO95" s="11"/>
      <c r="BP95" s="11"/>
      <c r="BQ95" s="52"/>
      <c r="BR95" s="52"/>
      <c r="BS95" s="52"/>
      <c r="BT95" s="11"/>
      <c r="BU95" s="11"/>
    </row>
    <row r="96" spans="1:73" ht="21" customHeight="1">
      <c r="A96" s="5"/>
      <c r="B96" s="5"/>
      <c r="C96" s="5"/>
      <c r="D96" s="12"/>
      <c r="E96" s="5" t="s">
        <v>279</v>
      </c>
      <c r="F96" s="5"/>
      <c r="G96" s="48"/>
      <c r="H96" s="6"/>
      <c r="I96" s="6"/>
      <c r="J96" s="6"/>
      <c r="K96" s="6"/>
      <c r="L96" s="6"/>
      <c r="M96" s="6"/>
      <c r="N96" s="7"/>
      <c r="O96" s="6">
        <v>157000</v>
      </c>
      <c r="P96" s="6">
        <v>176491</v>
      </c>
      <c r="Q96" s="6">
        <v>190473</v>
      </c>
      <c r="R96" s="6">
        <v>204878</v>
      </c>
      <c r="S96" s="6">
        <v>269367</v>
      </c>
      <c r="T96" s="6">
        <v>322573</v>
      </c>
      <c r="U96" s="6">
        <v>346501</v>
      </c>
      <c r="V96" s="6">
        <v>470000</v>
      </c>
      <c r="W96" s="6">
        <v>524000</v>
      </c>
      <c r="X96" s="6">
        <v>576000</v>
      </c>
      <c r="Y96" s="6">
        <v>627120</v>
      </c>
      <c r="Z96" s="6">
        <v>580028</v>
      </c>
      <c r="AA96" s="6">
        <v>582130</v>
      </c>
      <c r="AB96" s="6">
        <v>443548</v>
      </c>
      <c r="AC96" s="6">
        <v>489926</v>
      </c>
      <c r="AD96" s="6">
        <v>457445</v>
      </c>
      <c r="AE96" s="48">
        <v>316790</v>
      </c>
      <c r="AF96" s="48">
        <v>346683</v>
      </c>
      <c r="AG96" s="48">
        <v>338674</v>
      </c>
      <c r="AH96" s="48">
        <v>287409</v>
      </c>
      <c r="AI96" s="48">
        <v>268607</v>
      </c>
      <c r="AJ96" s="48">
        <v>276815</v>
      </c>
      <c r="AK96" s="6">
        <v>268054</v>
      </c>
      <c r="AL96" s="13">
        <v>276321</v>
      </c>
      <c r="AM96" s="5"/>
      <c r="AN96" s="5"/>
      <c r="AO96" s="5"/>
      <c r="AP96" s="5"/>
      <c r="AQ96" s="5"/>
      <c r="AR96" s="5"/>
      <c r="AS96" s="6"/>
      <c r="AT96" s="6"/>
      <c r="AU96" s="6"/>
      <c r="AV96" s="6"/>
      <c r="AW96" s="48"/>
      <c r="AX96" s="6"/>
      <c r="AY96" s="48"/>
      <c r="AZ96" s="5"/>
      <c r="BA96" s="5"/>
      <c r="BB96" s="5"/>
      <c r="BC96" s="31"/>
      <c r="BD96" s="5"/>
      <c r="BE96" s="26"/>
      <c r="BF96" s="5"/>
      <c r="BG96" s="5"/>
      <c r="BH96" s="5"/>
      <c r="BI96" s="5"/>
      <c r="BJ96" s="5"/>
      <c r="BK96" s="5"/>
      <c r="BL96" s="5"/>
      <c r="BM96" s="5"/>
      <c r="BN96" s="11"/>
      <c r="BO96" s="11"/>
      <c r="BP96" s="11"/>
      <c r="BQ96" s="52"/>
      <c r="BR96" s="52"/>
      <c r="BS96" s="52"/>
      <c r="BT96" s="11"/>
      <c r="BU96" s="11"/>
    </row>
    <row r="97" spans="1:73" ht="21" customHeight="1">
      <c r="A97" s="5"/>
      <c r="B97" s="5"/>
      <c r="C97" s="5"/>
      <c r="D97" s="12"/>
      <c r="E97" s="5" t="s">
        <v>280</v>
      </c>
      <c r="F97" s="5"/>
      <c r="G97" s="48"/>
      <c r="H97" s="48"/>
      <c r="I97" s="48"/>
      <c r="J97" s="48"/>
      <c r="K97" s="48"/>
      <c r="L97" s="48"/>
      <c r="M97" s="48"/>
      <c r="N97" s="49"/>
      <c r="O97" s="6"/>
      <c r="P97" s="48"/>
      <c r="Q97" s="48"/>
      <c r="R97" s="48"/>
      <c r="S97" s="48"/>
      <c r="T97" s="48"/>
      <c r="U97" s="48"/>
      <c r="V97" s="48"/>
      <c r="W97" s="48"/>
      <c r="X97" s="48"/>
      <c r="Y97" s="48"/>
      <c r="Z97" s="48"/>
      <c r="AA97" s="48"/>
      <c r="AB97" s="48"/>
      <c r="AC97" s="48"/>
      <c r="AD97" s="6"/>
      <c r="AE97" s="48"/>
      <c r="AF97" s="48"/>
      <c r="AG97" s="48"/>
      <c r="AH97" s="48"/>
      <c r="AI97" s="48"/>
      <c r="AJ97" s="48"/>
      <c r="AK97" s="6"/>
      <c r="AL97" s="5"/>
      <c r="AM97" s="13">
        <v>738798</v>
      </c>
      <c r="AN97" s="6">
        <v>708421</v>
      </c>
      <c r="AO97" s="6">
        <v>708564</v>
      </c>
      <c r="AP97" s="6">
        <v>714956</v>
      </c>
      <c r="AQ97" s="6">
        <v>730764</v>
      </c>
      <c r="AR97" s="6">
        <v>817174</v>
      </c>
      <c r="AS97" s="6">
        <v>959687</v>
      </c>
      <c r="AT97" s="6">
        <v>1034924</v>
      </c>
      <c r="AU97" s="6">
        <v>1036176</v>
      </c>
      <c r="AV97" s="6">
        <v>1235380</v>
      </c>
      <c r="AW97" s="6">
        <v>2658206</v>
      </c>
      <c r="AX97" s="6">
        <v>2277410</v>
      </c>
      <c r="AY97" s="6">
        <v>2635944</v>
      </c>
      <c r="AZ97" s="6">
        <v>3685153</v>
      </c>
      <c r="BA97" s="6">
        <v>2904896</v>
      </c>
      <c r="BB97" s="6">
        <v>2897778</v>
      </c>
      <c r="BC97" s="7">
        <v>2966501</v>
      </c>
      <c r="BD97" s="6">
        <v>3629733</v>
      </c>
      <c r="BE97" s="14">
        <f>3230619+151825</f>
        <v>3382444</v>
      </c>
      <c r="BF97" s="6">
        <v>3352372</v>
      </c>
      <c r="BG97" s="6">
        <v>3009955</v>
      </c>
      <c r="BH97" s="51">
        <v>18019378</v>
      </c>
      <c r="BI97" s="51">
        <v>27639420</v>
      </c>
      <c r="BJ97" s="51">
        <v>27091890</v>
      </c>
      <c r="BK97" s="51">
        <v>28221461</v>
      </c>
      <c r="BL97" s="51">
        <v>30013218</v>
      </c>
      <c r="BM97" s="51">
        <v>27965370</v>
      </c>
      <c r="BN97" s="11"/>
      <c r="BO97" s="11"/>
      <c r="BP97" s="11"/>
      <c r="BQ97" s="52"/>
      <c r="BR97" s="52"/>
      <c r="BS97" s="52"/>
      <c r="BT97" s="11"/>
      <c r="BU97" s="11"/>
    </row>
    <row r="98" spans="1:73" ht="21" customHeight="1">
      <c r="A98" s="5"/>
      <c r="B98" s="5"/>
      <c r="C98" s="5"/>
      <c r="D98" s="12"/>
      <c r="E98" s="5" t="s">
        <v>281</v>
      </c>
      <c r="F98" s="5"/>
      <c r="G98" s="48"/>
      <c r="H98" s="6"/>
      <c r="I98" s="6"/>
      <c r="J98" s="6"/>
      <c r="K98" s="6"/>
      <c r="L98" s="6"/>
      <c r="M98" s="6"/>
      <c r="N98" s="7"/>
      <c r="O98" s="6">
        <v>126310</v>
      </c>
      <c r="P98" s="6">
        <v>184484</v>
      </c>
      <c r="Q98" s="6">
        <v>255102</v>
      </c>
      <c r="R98" s="6">
        <v>180286</v>
      </c>
      <c r="S98" s="6">
        <v>199951</v>
      </c>
      <c r="T98" s="6">
        <v>223605</v>
      </c>
      <c r="U98" s="6">
        <v>221074</v>
      </c>
      <c r="V98" s="6">
        <v>246752</v>
      </c>
      <c r="W98" s="6">
        <v>236213</v>
      </c>
      <c r="X98" s="6">
        <v>221000</v>
      </c>
      <c r="Y98" s="6">
        <v>223845</v>
      </c>
      <c r="Z98" s="6">
        <v>219805</v>
      </c>
      <c r="AA98" s="6">
        <v>240582</v>
      </c>
      <c r="AB98" s="6">
        <v>305755</v>
      </c>
      <c r="AC98" s="6">
        <v>317742</v>
      </c>
      <c r="AD98" s="6">
        <v>395110</v>
      </c>
      <c r="AE98" s="48">
        <v>410725</v>
      </c>
      <c r="AF98" s="48">
        <v>485069</v>
      </c>
      <c r="AG98" s="48">
        <v>491346</v>
      </c>
      <c r="AH98" s="48">
        <v>494411</v>
      </c>
      <c r="AI98" s="48">
        <v>493756</v>
      </c>
      <c r="AJ98" s="48">
        <v>509689</v>
      </c>
      <c r="AK98" s="6">
        <v>530440</v>
      </c>
      <c r="AL98" s="6">
        <v>533117</v>
      </c>
      <c r="AM98" s="6">
        <v>516560</v>
      </c>
      <c r="AN98" s="6">
        <v>481928</v>
      </c>
      <c r="AO98" s="6">
        <v>437306</v>
      </c>
      <c r="AP98" s="6">
        <v>395358</v>
      </c>
      <c r="AQ98" s="6">
        <v>66103</v>
      </c>
      <c r="AR98" s="6">
        <v>56394</v>
      </c>
      <c r="AS98" s="6">
        <v>54307</v>
      </c>
      <c r="AT98" s="6"/>
      <c r="AU98" s="6"/>
      <c r="AV98" s="6"/>
      <c r="AW98" s="6"/>
      <c r="AX98" s="6"/>
      <c r="AY98" s="48"/>
      <c r="AZ98" s="5"/>
      <c r="BA98" s="5"/>
      <c r="BB98" s="5"/>
      <c r="BC98" s="31"/>
      <c r="BD98" s="5"/>
      <c r="BE98" s="26"/>
      <c r="BF98" s="5"/>
      <c r="BG98" s="5"/>
      <c r="BH98" s="5"/>
      <c r="BI98" s="5"/>
      <c r="BJ98" s="5"/>
      <c r="BK98" s="5"/>
      <c r="BL98" s="5"/>
      <c r="BM98" s="5"/>
      <c r="BN98" s="11"/>
      <c r="BO98" s="11"/>
      <c r="BP98" s="11"/>
      <c r="BQ98" s="52"/>
      <c r="BR98" s="52"/>
      <c r="BS98" s="52"/>
      <c r="BT98" s="11"/>
      <c r="BU98" s="11"/>
    </row>
    <row r="99" spans="1:73" ht="21" customHeight="1">
      <c r="A99" s="5"/>
      <c r="B99" s="5"/>
      <c r="C99" s="5"/>
      <c r="D99" s="12"/>
      <c r="E99" s="5" t="s">
        <v>282</v>
      </c>
      <c r="F99" s="5"/>
      <c r="G99" s="48"/>
      <c r="H99" s="6"/>
      <c r="I99" s="6"/>
      <c r="J99" s="6"/>
      <c r="K99" s="6"/>
      <c r="L99" s="6"/>
      <c r="M99" s="6"/>
      <c r="N99" s="7"/>
      <c r="O99" s="6">
        <v>10000</v>
      </c>
      <c r="P99" s="6">
        <v>100000</v>
      </c>
      <c r="Q99" s="6">
        <v>250865</v>
      </c>
      <c r="R99" s="6">
        <v>324089</v>
      </c>
      <c r="S99" s="6">
        <v>373352</v>
      </c>
      <c r="T99" s="6">
        <v>321806</v>
      </c>
      <c r="U99" s="6">
        <v>371979</v>
      </c>
      <c r="V99" s="6">
        <v>440102</v>
      </c>
      <c r="W99" s="6">
        <v>520047</v>
      </c>
      <c r="X99" s="6">
        <v>639993</v>
      </c>
      <c r="Y99" s="6">
        <v>798243</v>
      </c>
      <c r="Z99" s="6">
        <v>900150</v>
      </c>
      <c r="AA99" s="6">
        <v>913591</v>
      </c>
      <c r="AB99" s="6">
        <v>1038130</v>
      </c>
      <c r="AC99" s="6">
        <v>1119930</v>
      </c>
      <c r="AD99" s="6">
        <v>1254142</v>
      </c>
      <c r="AE99" s="48">
        <v>1432982</v>
      </c>
      <c r="AF99" s="48">
        <v>1843282</v>
      </c>
      <c r="AG99" s="48">
        <v>1943909</v>
      </c>
      <c r="AH99" s="24">
        <v>2084149</v>
      </c>
      <c r="AI99" s="24">
        <v>2191351</v>
      </c>
      <c r="AJ99" s="6">
        <v>2246045</v>
      </c>
      <c r="AK99" s="6">
        <v>2338364</v>
      </c>
      <c r="AL99" s="6">
        <v>2445770</v>
      </c>
      <c r="AM99" s="6">
        <v>2585629</v>
      </c>
      <c r="AN99" s="6">
        <v>2583299</v>
      </c>
      <c r="AO99" s="6">
        <v>2705706</v>
      </c>
      <c r="AP99" s="6">
        <v>2808761</v>
      </c>
      <c r="AQ99" s="6">
        <v>3069701</v>
      </c>
      <c r="AR99" s="6">
        <v>3171906</v>
      </c>
      <c r="AS99" s="6">
        <v>3252765</v>
      </c>
      <c r="AT99" s="6">
        <v>3376611</v>
      </c>
      <c r="AU99" s="6">
        <v>3597221</v>
      </c>
      <c r="AV99" s="6">
        <v>3893986</v>
      </c>
      <c r="AW99" s="6">
        <v>4149015</v>
      </c>
      <c r="AX99" s="6">
        <v>4417283</v>
      </c>
      <c r="AY99" s="6">
        <v>4707811</v>
      </c>
      <c r="AZ99" s="6">
        <v>4870667</v>
      </c>
      <c r="BA99" s="6">
        <v>5004997</v>
      </c>
      <c r="BB99" s="6">
        <v>5853955</v>
      </c>
      <c r="BC99" s="7">
        <v>6309214</v>
      </c>
      <c r="BD99" s="6">
        <v>6869793</v>
      </c>
      <c r="BE99" s="14"/>
      <c r="BF99" s="6"/>
      <c r="BG99" s="6"/>
      <c r="BH99" s="6"/>
      <c r="BI99" s="6"/>
      <c r="BJ99" s="6"/>
      <c r="BK99" s="6"/>
      <c r="BL99" s="6"/>
      <c r="BM99" s="6"/>
      <c r="BN99" s="52"/>
      <c r="BO99" s="11"/>
      <c r="BP99" s="11"/>
      <c r="BQ99" s="53"/>
      <c r="BR99" s="52"/>
      <c r="BS99" s="52"/>
      <c r="BT99" s="11"/>
      <c r="BU99" s="11"/>
    </row>
    <row r="100" spans="1:73" ht="21" customHeight="1">
      <c r="A100" s="5"/>
      <c r="B100" s="5"/>
      <c r="C100" s="5"/>
      <c r="D100" s="12"/>
      <c r="E100" s="5" t="s">
        <v>239</v>
      </c>
      <c r="F100" s="5"/>
      <c r="G100" s="48"/>
      <c r="H100" s="6"/>
      <c r="I100" s="6"/>
      <c r="J100" s="6"/>
      <c r="K100" s="6"/>
      <c r="L100" s="6"/>
      <c r="M100" s="6"/>
      <c r="N100" s="7"/>
      <c r="O100" s="6">
        <v>238050</v>
      </c>
      <c r="P100" s="6">
        <v>171986</v>
      </c>
      <c r="Q100" s="6">
        <v>319150</v>
      </c>
      <c r="R100" s="6">
        <v>212771</v>
      </c>
      <c r="S100" s="6">
        <v>239446</v>
      </c>
      <c r="T100" s="48">
        <v>250626</v>
      </c>
      <c r="U100" s="48">
        <v>279304</v>
      </c>
      <c r="V100" s="48">
        <v>260015</v>
      </c>
      <c r="W100" s="48">
        <v>296003</v>
      </c>
      <c r="X100" s="50">
        <v>320965</v>
      </c>
      <c r="Y100" s="48"/>
      <c r="Z100" s="48"/>
      <c r="AA100" s="48"/>
      <c r="AB100" s="48"/>
      <c r="AC100" s="48"/>
      <c r="AD100" s="6"/>
      <c r="AE100" s="48"/>
      <c r="AF100" s="48"/>
      <c r="AG100" s="48"/>
      <c r="AH100" s="48"/>
      <c r="AI100" s="48"/>
      <c r="AJ100" s="48"/>
      <c r="AK100" s="6"/>
      <c r="AL100" s="5"/>
      <c r="AM100" s="5"/>
      <c r="AN100" s="5"/>
      <c r="AO100" s="5"/>
      <c r="AP100" s="5"/>
      <c r="AQ100" s="5"/>
      <c r="AR100" s="5"/>
      <c r="AS100" s="6"/>
      <c r="AT100" s="6"/>
      <c r="AU100" s="6"/>
      <c r="AV100" s="6"/>
      <c r="AW100" s="48"/>
      <c r="AX100" s="6"/>
      <c r="AY100" s="48"/>
      <c r="AZ100" s="54"/>
      <c r="BA100" s="5"/>
      <c r="BB100" s="5"/>
      <c r="BC100" s="55"/>
      <c r="BD100" s="26"/>
      <c r="BE100" s="26"/>
      <c r="BF100" s="26"/>
      <c r="BG100" s="26"/>
      <c r="BH100" s="26"/>
      <c r="BI100" s="26"/>
      <c r="BJ100" s="26"/>
      <c r="BK100" s="26"/>
      <c r="BL100" s="26"/>
      <c r="BM100" s="26"/>
      <c r="BN100" s="52"/>
      <c r="BO100" s="11"/>
      <c r="BP100" s="11"/>
      <c r="BQ100" s="53"/>
      <c r="BR100" s="52"/>
      <c r="BS100" s="52"/>
      <c r="BT100" s="11"/>
      <c r="BU100" s="11"/>
    </row>
    <row r="101" spans="1:73" ht="21" customHeight="1">
      <c r="A101" s="5"/>
      <c r="B101" s="5"/>
      <c r="C101" s="12"/>
      <c r="D101" s="5" t="s">
        <v>283</v>
      </c>
      <c r="E101" s="5"/>
      <c r="F101" s="31"/>
      <c r="G101" s="48"/>
      <c r="H101" s="6"/>
      <c r="I101" s="6"/>
      <c r="J101" s="6"/>
      <c r="K101" s="6"/>
      <c r="L101" s="6">
        <v>50000</v>
      </c>
      <c r="M101" s="6">
        <v>75000</v>
      </c>
      <c r="N101" s="7">
        <v>110000</v>
      </c>
      <c r="O101" s="6">
        <v>130000</v>
      </c>
      <c r="P101" s="6">
        <v>145000</v>
      </c>
      <c r="Q101" s="6">
        <v>145500</v>
      </c>
      <c r="R101" s="6">
        <v>132000</v>
      </c>
      <c r="S101" s="6">
        <v>82969</v>
      </c>
      <c r="T101" s="6">
        <v>90118</v>
      </c>
      <c r="U101" s="50"/>
      <c r="V101" s="48"/>
      <c r="W101" s="48"/>
      <c r="X101" s="48"/>
      <c r="Y101" s="48"/>
      <c r="Z101" s="48"/>
      <c r="AA101" s="48"/>
      <c r="AB101" s="48"/>
      <c r="AC101" s="50"/>
      <c r="AD101" s="6">
        <v>84667</v>
      </c>
      <c r="AE101" s="48">
        <v>77828</v>
      </c>
      <c r="AF101" s="48">
        <v>102790</v>
      </c>
      <c r="AG101" s="48">
        <v>86616</v>
      </c>
      <c r="AH101" s="48">
        <v>82814</v>
      </c>
      <c r="AI101" s="48">
        <v>76828</v>
      </c>
      <c r="AJ101" s="48">
        <v>74573</v>
      </c>
      <c r="AK101" s="6">
        <v>77258</v>
      </c>
      <c r="AL101" s="6">
        <v>75609</v>
      </c>
      <c r="AM101" s="6">
        <v>77443</v>
      </c>
      <c r="AN101" s="6">
        <v>64874</v>
      </c>
      <c r="AO101" s="6">
        <v>51573</v>
      </c>
      <c r="AP101" s="6">
        <v>45510</v>
      </c>
      <c r="AQ101" s="6">
        <v>39139</v>
      </c>
      <c r="AR101" s="56"/>
      <c r="AS101" s="6"/>
      <c r="AT101" s="6"/>
      <c r="AU101" s="6"/>
      <c r="AV101" s="6"/>
      <c r="AW101" s="48"/>
      <c r="AX101" s="6"/>
      <c r="AY101" s="48"/>
      <c r="AZ101" s="5"/>
      <c r="BA101" s="5"/>
      <c r="BB101" s="5"/>
      <c r="BC101" s="31"/>
      <c r="BD101" s="5"/>
      <c r="BE101" s="26"/>
      <c r="BF101" s="5"/>
      <c r="BG101" s="5"/>
      <c r="BH101" s="5"/>
      <c r="BI101" s="5"/>
      <c r="BJ101" s="5"/>
      <c r="BK101" s="5"/>
      <c r="BL101" s="5"/>
      <c r="BM101" s="5"/>
      <c r="BN101" s="52"/>
      <c r="BO101" s="11"/>
      <c r="BP101" s="11"/>
      <c r="BQ101" s="57"/>
      <c r="BR101" s="52"/>
      <c r="BS101" s="52"/>
      <c r="BT101" s="11"/>
      <c r="BU101" s="11"/>
    </row>
    <row r="102" spans="1:73" ht="21" customHeight="1">
      <c r="A102" s="5"/>
      <c r="B102" s="5"/>
      <c r="C102" s="12"/>
      <c r="D102" s="5" t="s">
        <v>284</v>
      </c>
      <c r="E102" s="5"/>
      <c r="F102" s="31"/>
      <c r="G102" s="48"/>
      <c r="H102" s="48"/>
      <c r="I102" s="48"/>
      <c r="J102" s="48"/>
      <c r="K102" s="48"/>
      <c r="L102" s="48"/>
      <c r="M102" s="48"/>
      <c r="N102" s="49"/>
      <c r="O102" s="6"/>
      <c r="P102" s="48"/>
      <c r="Q102" s="48"/>
      <c r="R102" s="48"/>
      <c r="S102" s="48"/>
      <c r="T102" s="48"/>
      <c r="U102" s="48"/>
      <c r="V102" s="48"/>
      <c r="W102" s="48"/>
      <c r="X102" s="48"/>
      <c r="Y102" s="48"/>
      <c r="Z102" s="48"/>
      <c r="AA102" s="48"/>
      <c r="AB102" s="48"/>
      <c r="AC102" s="48"/>
      <c r="AD102" s="6"/>
      <c r="AE102" s="48"/>
      <c r="AF102" s="48"/>
      <c r="AG102" s="48"/>
      <c r="AH102" s="48"/>
      <c r="AI102" s="48"/>
      <c r="AJ102" s="48"/>
      <c r="AK102" s="6"/>
      <c r="AL102" s="6"/>
      <c r="AM102" s="6"/>
      <c r="AN102" s="6"/>
      <c r="AO102" s="6"/>
      <c r="AP102" s="6"/>
      <c r="AQ102" s="6">
        <v>0</v>
      </c>
      <c r="AR102" s="6">
        <v>1497917</v>
      </c>
      <c r="AS102" s="6">
        <v>1395215</v>
      </c>
      <c r="AT102" s="6">
        <v>1149657</v>
      </c>
      <c r="AU102" s="6">
        <v>767643</v>
      </c>
      <c r="AV102" s="6">
        <v>1551105</v>
      </c>
      <c r="AW102" s="6">
        <v>1821000</v>
      </c>
      <c r="AX102" s="6">
        <v>1735000</v>
      </c>
      <c r="AY102" s="6">
        <v>1586000</v>
      </c>
      <c r="AZ102" s="6">
        <v>1265000</v>
      </c>
      <c r="BA102" s="6">
        <v>1300000</v>
      </c>
      <c r="BB102" s="6">
        <v>1067000</v>
      </c>
      <c r="BC102" s="7">
        <v>875000</v>
      </c>
      <c r="BD102" s="6">
        <v>875000</v>
      </c>
      <c r="BE102" s="14">
        <v>548000</v>
      </c>
      <c r="BF102" s="6">
        <v>345000</v>
      </c>
      <c r="BG102" s="6">
        <v>100000</v>
      </c>
      <c r="BH102" s="51">
        <v>40000</v>
      </c>
      <c r="BI102" s="51">
        <v>45000</v>
      </c>
      <c r="BJ102" s="51">
        <v>40000</v>
      </c>
      <c r="BK102" s="6"/>
      <c r="BL102" s="6"/>
      <c r="BM102" s="6"/>
      <c r="BN102" s="11"/>
      <c r="BO102" s="11"/>
      <c r="BP102" s="11"/>
      <c r="BQ102" s="52"/>
      <c r="BR102" s="52"/>
      <c r="BS102" s="52"/>
      <c r="BT102" s="11"/>
      <c r="BU102" s="11"/>
    </row>
    <row r="103" spans="1:73" ht="21" customHeight="1">
      <c r="A103" s="5"/>
      <c r="B103" s="5"/>
      <c r="C103" s="12"/>
      <c r="D103" s="5" t="s">
        <v>285</v>
      </c>
      <c r="E103" s="5"/>
      <c r="F103" s="31"/>
      <c r="G103" s="48"/>
      <c r="H103" s="48"/>
      <c r="I103" s="48"/>
      <c r="J103" s="48"/>
      <c r="K103" s="48"/>
      <c r="L103" s="48"/>
      <c r="M103" s="48"/>
      <c r="N103" s="49"/>
      <c r="O103" s="6"/>
      <c r="P103" s="48"/>
      <c r="Q103" s="48"/>
      <c r="R103" s="48"/>
      <c r="S103" s="48"/>
      <c r="T103" s="48"/>
      <c r="U103" s="48"/>
      <c r="V103" s="48"/>
      <c r="W103" s="48"/>
      <c r="X103" s="48"/>
      <c r="Y103" s="48"/>
      <c r="Z103" s="48"/>
      <c r="AA103" s="48"/>
      <c r="AB103" s="48"/>
      <c r="AC103" s="48"/>
      <c r="AD103" s="6"/>
      <c r="AE103" s="48"/>
      <c r="AF103" s="48"/>
      <c r="AG103" s="48"/>
      <c r="AH103" s="48"/>
      <c r="AI103" s="48"/>
      <c r="AJ103" s="48"/>
      <c r="AK103" s="6"/>
      <c r="AL103" s="6"/>
      <c r="AM103" s="6"/>
      <c r="AN103" s="6"/>
      <c r="AO103" s="6"/>
      <c r="AP103" s="6"/>
      <c r="AQ103" s="6">
        <v>0</v>
      </c>
      <c r="AR103" s="6">
        <v>50000</v>
      </c>
      <c r="AS103" s="6">
        <v>72496</v>
      </c>
      <c r="AT103" s="6">
        <v>91297</v>
      </c>
      <c r="AU103" s="6">
        <v>76048</v>
      </c>
      <c r="AV103" s="6">
        <v>72770</v>
      </c>
      <c r="AW103" s="6">
        <v>65078</v>
      </c>
      <c r="AX103" s="6">
        <v>61084</v>
      </c>
      <c r="AY103" s="6">
        <v>51925</v>
      </c>
      <c r="AZ103" s="6">
        <v>113886</v>
      </c>
      <c r="BA103" s="6">
        <v>200727</v>
      </c>
      <c r="BB103" s="6">
        <v>265807</v>
      </c>
      <c r="BC103" s="7">
        <v>340708</v>
      </c>
      <c r="BD103" s="6">
        <v>1436743</v>
      </c>
      <c r="BE103" s="14">
        <f>1375026+17802</f>
        <v>1392828</v>
      </c>
      <c r="BF103" s="6">
        <v>1806792</v>
      </c>
      <c r="BG103" s="6">
        <v>503997</v>
      </c>
      <c r="BH103" s="51">
        <v>195259</v>
      </c>
      <c r="BI103" s="51">
        <v>157702</v>
      </c>
      <c r="BJ103" s="51">
        <v>2487816</v>
      </c>
      <c r="BK103" s="51">
        <v>2909770</v>
      </c>
      <c r="BL103" s="6"/>
      <c r="BM103" s="6"/>
      <c r="BN103" s="52"/>
      <c r="BO103" s="11"/>
      <c r="BP103" s="11"/>
      <c r="BQ103" s="52"/>
      <c r="BR103" s="52"/>
      <c r="BS103" s="52"/>
      <c r="BT103" s="11"/>
      <c r="BU103" s="11"/>
    </row>
    <row r="104" spans="1:73" ht="21" customHeight="1">
      <c r="A104" s="5"/>
      <c r="B104" s="5"/>
      <c r="C104" s="5"/>
      <c r="D104" s="26" t="s">
        <v>286</v>
      </c>
      <c r="E104" s="26"/>
      <c r="F104" s="31"/>
      <c r="G104" s="48"/>
      <c r="H104" s="48"/>
      <c r="I104" s="48"/>
      <c r="J104" s="48"/>
      <c r="K104" s="48"/>
      <c r="L104" s="48"/>
      <c r="M104" s="48"/>
      <c r="N104" s="49"/>
      <c r="O104" s="6"/>
      <c r="P104" s="48"/>
      <c r="Q104" s="48"/>
      <c r="R104" s="48"/>
      <c r="S104" s="48"/>
      <c r="T104" s="48"/>
      <c r="U104" s="48"/>
      <c r="V104" s="48"/>
      <c r="W104" s="48"/>
      <c r="X104" s="48"/>
      <c r="Y104" s="48"/>
      <c r="Z104" s="48"/>
      <c r="AA104" s="48"/>
      <c r="AB104" s="48"/>
      <c r="AC104" s="48"/>
      <c r="AD104" s="6"/>
      <c r="AE104" s="48"/>
      <c r="AF104" s="48"/>
      <c r="AG104" s="48"/>
      <c r="AH104" s="48"/>
      <c r="AI104" s="48"/>
      <c r="AJ104" s="48"/>
      <c r="AK104" s="6"/>
      <c r="AL104" s="5"/>
      <c r="AM104" s="5"/>
      <c r="AN104" s="5"/>
      <c r="AO104" s="5"/>
      <c r="AP104" s="5"/>
      <c r="AQ104" s="5"/>
      <c r="AR104" s="5"/>
      <c r="AS104" s="6"/>
      <c r="AT104" s="6">
        <v>280757</v>
      </c>
      <c r="AU104" s="6">
        <v>417251</v>
      </c>
      <c r="AV104" s="6">
        <v>1248001</v>
      </c>
      <c r="AW104" s="6">
        <v>484079</v>
      </c>
      <c r="AX104" s="6">
        <v>570266</v>
      </c>
      <c r="AY104" s="6">
        <v>520210</v>
      </c>
      <c r="AZ104" s="6">
        <v>505572</v>
      </c>
      <c r="BA104" s="6">
        <v>513434</v>
      </c>
      <c r="BB104" s="6">
        <v>915930</v>
      </c>
      <c r="BC104" s="7">
        <v>1771247</v>
      </c>
      <c r="BD104" s="6">
        <v>1870345</v>
      </c>
      <c r="BE104" s="14">
        <f>566959+170743+1041490+29783</f>
        <v>1808975</v>
      </c>
      <c r="BF104" s="6">
        <v>165515</v>
      </c>
      <c r="BG104" s="6">
        <v>903760</v>
      </c>
      <c r="BH104" s="51">
        <v>896595</v>
      </c>
      <c r="BI104" s="51">
        <v>1007721</v>
      </c>
      <c r="BJ104" s="51">
        <v>1121941</v>
      </c>
      <c r="BK104" s="51">
        <v>2103217</v>
      </c>
      <c r="BL104" s="51">
        <v>1056239</v>
      </c>
      <c r="BM104" s="6"/>
      <c r="BN104" s="52"/>
      <c r="BO104" s="11"/>
      <c r="BP104" s="11"/>
      <c r="BQ104" s="52"/>
      <c r="BR104" s="52"/>
      <c r="BS104" s="52"/>
      <c r="BT104" s="11"/>
      <c r="BU104" s="11"/>
    </row>
    <row r="105" spans="1:73" ht="21" customHeight="1">
      <c r="A105" s="5"/>
      <c r="B105" s="5"/>
      <c r="C105" s="5"/>
      <c r="D105" s="12" t="s">
        <v>287</v>
      </c>
      <c r="E105" s="26"/>
      <c r="F105" s="31"/>
      <c r="G105" s="48"/>
      <c r="H105" s="48"/>
      <c r="I105" s="48"/>
      <c r="J105" s="48"/>
      <c r="K105" s="48"/>
      <c r="L105" s="48"/>
      <c r="M105" s="48"/>
      <c r="N105" s="49"/>
      <c r="O105" s="6"/>
      <c r="P105" s="48"/>
      <c r="Q105" s="48"/>
      <c r="R105" s="48"/>
      <c r="S105" s="48"/>
      <c r="T105" s="48"/>
      <c r="U105" s="48"/>
      <c r="V105" s="48"/>
      <c r="W105" s="48"/>
      <c r="X105" s="48"/>
      <c r="Y105" s="48"/>
      <c r="Z105" s="48"/>
      <c r="AA105" s="48"/>
      <c r="AB105" s="48"/>
      <c r="AC105" s="48"/>
      <c r="AD105" s="6"/>
      <c r="AE105" s="48"/>
      <c r="AF105" s="48"/>
      <c r="AG105" s="48"/>
      <c r="AH105" s="48"/>
      <c r="AI105" s="48"/>
      <c r="AJ105" s="48"/>
      <c r="AK105" s="6"/>
      <c r="AL105" s="5"/>
      <c r="AM105" s="5"/>
      <c r="AN105" s="5"/>
      <c r="AO105" s="5"/>
      <c r="AP105" s="5"/>
      <c r="AQ105" s="5"/>
      <c r="AR105" s="5"/>
      <c r="AS105" s="6"/>
      <c r="AT105" s="6"/>
      <c r="AU105" s="6"/>
      <c r="AV105" s="6"/>
      <c r="AW105" s="6"/>
      <c r="AX105" s="6"/>
      <c r="AY105" s="6"/>
      <c r="AZ105" s="6"/>
      <c r="BA105" s="6"/>
      <c r="BB105" s="6"/>
      <c r="BC105" s="7"/>
      <c r="BD105" s="6"/>
      <c r="BE105" s="14"/>
      <c r="BF105" s="6"/>
      <c r="BG105" s="6"/>
      <c r="BH105" s="6"/>
      <c r="BI105" s="6"/>
      <c r="BJ105" s="6"/>
      <c r="BK105" s="6"/>
      <c r="BL105" s="6"/>
      <c r="BM105" s="6"/>
      <c r="BN105" s="52"/>
      <c r="BO105" s="11"/>
      <c r="BP105" s="11"/>
      <c r="BQ105" s="52"/>
      <c r="BR105" s="52"/>
      <c r="BS105" s="52"/>
      <c r="BT105" s="11"/>
      <c r="BU105" s="11"/>
    </row>
    <row r="106" spans="1:73" ht="21" customHeight="1">
      <c r="A106" s="5"/>
      <c r="B106" s="5"/>
      <c r="C106" s="5"/>
      <c r="D106" s="12"/>
      <c r="E106" s="26" t="s">
        <v>288</v>
      </c>
      <c r="F106" s="31"/>
      <c r="G106" s="48"/>
      <c r="H106" s="6"/>
      <c r="I106" s="6"/>
      <c r="J106" s="6"/>
      <c r="K106" s="6"/>
      <c r="L106" s="6"/>
      <c r="M106" s="6"/>
      <c r="N106" s="7"/>
      <c r="O106" s="6"/>
      <c r="P106" s="6"/>
      <c r="Q106" s="6"/>
      <c r="R106" s="6"/>
      <c r="S106" s="6"/>
      <c r="T106" s="6"/>
      <c r="U106" s="6"/>
      <c r="V106" s="13"/>
      <c r="W106" s="6">
        <v>260368</v>
      </c>
      <c r="X106" s="6">
        <v>5369281</v>
      </c>
      <c r="Y106" s="6">
        <v>15829088</v>
      </c>
      <c r="Z106" s="6">
        <v>11967145</v>
      </c>
      <c r="AA106" s="6">
        <v>1758539</v>
      </c>
      <c r="AB106" s="48">
        <v>0</v>
      </c>
      <c r="AC106" s="48"/>
      <c r="AD106" s="6"/>
      <c r="AE106" s="48"/>
      <c r="AF106" s="48"/>
      <c r="AG106" s="48"/>
      <c r="AH106" s="48"/>
      <c r="AI106" s="48"/>
      <c r="AJ106" s="48"/>
      <c r="AK106" s="6"/>
      <c r="AL106" s="5"/>
      <c r="AM106" s="5"/>
      <c r="AN106" s="5"/>
      <c r="AO106" s="5"/>
      <c r="AP106" s="5"/>
      <c r="AQ106" s="5"/>
      <c r="AR106" s="5"/>
      <c r="AS106" s="6"/>
      <c r="AT106" s="6">
        <v>180671</v>
      </c>
      <c r="AU106" s="6">
        <v>2310620</v>
      </c>
      <c r="AV106" s="6">
        <v>2358540</v>
      </c>
      <c r="AW106" s="6"/>
      <c r="AX106" s="6"/>
      <c r="AY106" s="6"/>
      <c r="AZ106" s="6"/>
      <c r="BA106" s="6"/>
      <c r="BB106" s="6"/>
      <c r="BC106" s="7"/>
      <c r="BD106" s="6"/>
      <c r="BE106" s="14"/>
      <c r="BF106" s="6"/>
      <c r="BG106" s="6"/>
      <c r="BH106" s="6"/>
      <c r="BI106" s="6"/>
      <c r="BJ106" s="6"/>
      <c r="BK106" s="6"/>
      <c r="BL106" s="6"/>
      <c r="BM106" s="6"/>
      <c r="BN106" s="52"/>
      <c r="BO106" s="11"/>
      <c r="BP106" s="11"/>
      <c r="BQ106" s="52"/>
      <c r="BR106" s="52"/>
      <c r="BS106" s="52"/>
      <c r="BT106" s="11"/>
      <c r="BU106" s="11"/>
    </row>
    <row r="107" spans="1:73" ht="21" customHeight="1">
      <c r="A107" s="5"/>
      <c r="B107" s="5"/>
      <c r="C107" s="5"/>
      <c r="D107" s="12"/>
      <c r="E107" s="5" t="s">
        <v>289</v>
      </c>
      <c r="F107" s="31"/>
      <c r="G107" s="48"/>
      <c r="H107" s="48"/>
      <c r="I107" s="48"/>
      <c r="J107" s="48"/>
      <c r="K107" s="48"/>
      <c r="L107" s="48"/>
      <c r="M107" s="48"/>
      <c r="N107" s="49">
        <v>162000</v>
      </c>
      <c r="O107" s="6">
        <v>124948</v>
      </c>
      <c r="P107" s="48"/>
      <c r="Q107" s="48"/>
      <c r="R107" s="48"/>
      <c r="S107" s="48"/>
      <c r="T107" s="48"/>
      <c r="U107" s="48"/>
      <c r="V107" s="48"/>
      <c r="W107" s="48"/>
      <c r="X107" s="48"/>
      <c r="Y107" s="48"/>
      <c r="Z107" s="48"/>
      <c r="AA107" s="48"/>
      <c r="AB107" s="48"/>
      <c r="AC107" s="48">
        <v>0</v>
      </c>
      <c r="AD107" s="6">
        <v>300000</v>
      </c>
      <c r="AE107" s="48">
        <v>260000</v>
      </c>
      <c r="AF107" s="48">
        <v>0</v>
      </c>
      <c r="AG107" s="48"/>
      <c r="AH107" s="48"/>
      <c r="AI107" s="48"/>
      <c r="AJ107" s="48"/>
      <c r="AK107" s="6"/>
      <c r="AL107" s="5"/>
      <c r="AM107" s="5"/>
      <c r="AN107" s="5"/>
      <c r="AO107" s="5"/>
      <c r="AP107" s="5"/>
      <c r="AQ107" s="5"/>
      <c r="AR107" s="5"/>
      <c r="AS107" s="6"/>
      <c r="AT107" s="6"/>
      <c r="AU107" s="6"/>
      <c r="AV107" s="6"/>
      <c r="AW107" s="6">
        <v>2352199</v>
      </c>
      <c r="AX107" s="6">
        <v>1231090</v>
      </c>
      <c r="AY107" s="6">
        <v>30286</v>
      </c>
      <c r="AZ107" s="5"/>
      <c r="BA107" s="6">
        <v>24546</v>
      </c>
      <c r="BB107" s="6">
        <v>221259</v>
      </c>
      <c r="BC107" s="7">
        <v>436755</v>
      </c>
      <c r="BD107" s="6">
        <v>347580</v>
      </c>
      <c r="BE107" s="14">
        <v>272293</v>
      </c>
      <c r="BF107" s="6"/>
      <c r="BG107" s="6"/>
      <c r="BH107" s="6"/>
      <c r="BI107" s="6"/>
      <c r="BJ107" s="6"/>
      <c r="BK107" s="6"/>
      <c r="BL107" s="51">
        <v>897350</v>
      </c>
      <c r="BM107" s="6"/>
      <c r="BN107" s="11"/>
      <c r="BO107" s="11"/>
      <c r="BP107" s="11"/>
      <c r="BQ107" s="52"/>
      <c r="BR107" s="52"/>
      <c r="BS107" s="52"/>
      <c r="BT107" s="11"/>
      <c r="BU107" s="11"/>
    </row>
    <row r="108" spans="1:73" ht="21" customHeight="1">
      <c r="A108" s="5"/>
      <c r="B108" s="5"/>
      <c r="C108" s="5"/>
      <c r="D108" s="12"/>
      <c r="E108" s="26" t="s">
        <v>290</v>
      </c>
      <c r="F108" s="31"/>
      <c r="G108" s="48"/>
      <c r="H108" s="48"/>
      <c r="I108" s="48"/>
      <c r="J108" s="48"/>
      <c r="K108" s="48"/>
      <c r="L108" s="48"/>
      <c r="M108" s="48"/>
      <c r="N108" s="49"/>
      <c r="O108" s="6"/>
      <c r="P108" s="48"/>
      <c r="Q108" s="48"/>
      <c r="R108" s="48"/>
      <c r="S108" s="48"/>
      <c r="T108" s="48"/>
      <c r="U108" s="48"/>
      <c r="V108" s="48"/>
      <c r="W108" s="48"/>
      <c r="X108" s="48"/>
      <c r="Y108" s="48"/>
      <c r="Z108" s="48"/>
      <c r="AA108" s="48"/>
      <c r="AB108" s="48"/>
      <c r="AC108" s="6">
        <v>325958</v>
      </c>
      <c r="AD108" s="6">
        <v>16821256</v>
      </c>
      <c r="AE108" s="48">
        <v>19702405</v>
      </c>
      <c r="AF108" s="48">
        <v>10805346</v>
      </c>
      <c r="AG108" s="48">
        <v>2440068</v>
      </c>
      <c r="AH108" s="48">
        <v>0</v>
      </c>
      <c r="AI108" s="48"/>
      <c r="AJ108" s="48"/>
      <c r="AK108" s="6"/>
      <c r="AL108" s="5"/>
      <c r="AM108" s="5"/>
      <c r="AN108" s="5"/>
      <c r="AO108" s="5"/>
      <c r="AP108" s="5"/>
      <c r="AQ108" s="5"/>
      <c r="AR108" s="5"/>
      <c r="AS108" s="6"/>
      <c r="AT108" s="6"/>
      <c r="AU108" s="6"/>
      <c r="AV108" s="6"/>
      <c r="AW108" s="48"/>
      <c r="AX108" s="6"/>
      <c r="AY108" s="48"/>
      <c r="AZ108" s="5"/>
      <c r="BA108" s="6"/>
      <c r="BB108" s="6">
        <v>44542</v>
      </c>
      <c r="BC108" s="7">
        <v>318762</v>
      </c>
      <c r="BD108" s="6">
        <v>663016</v>
      </c>
      <c r="BE108" s="14">
        <f>1085326+1974</f>
        <v>1087300</v>
      </c>
      <c r="BF108" s="6">
        <v>1510265</v>
      </c>
      <c r="BG108" s="6">
        <v>7972285</v>
      </c>
      <c r="BH108" s="51">
        <v>17700287</v>
      </c>
      <c r="BI108" s="51">
        <v>24177022</v>
      </c>
      <c r="BJ108" s="51">
        <v>13948205</v>
      </c>
      <c r="BK108" s="51">
        <v>519227</v>
      </c>
      <c r="BL108" s="6"/>
      <c r="BM108" s="6"/>
      <c r="BN108" s="11"/>
      <c r="BO108" s="11"/>
      <c r="BP108" s="11"/>
      <c r="BQ108" s="52"/>
      <c r="BR108" s="52"/>
      <c r="BS108" s="52"/>
      <c r="BT108" s="11"/>
      <c r="BU108" s="11"/>
    </row>
    <row r="109" spans="1:73" ht="21" customHeight="1">
      <c r="A109" s="5"/>
      <c r="B109" s="5"/>
      <c r="C109" s="12"/>
      <c r="D109" s="5" t="s">
        <v>291</v>
      </c>
      <c r="E109" s="5"/>
      <c r="F109" s="31"/>
      <c r="G109" s="48"/>
      <c r="H109" s="48"/>
      <c r="I109" s="48"/>
      <c r="J109" s="48"/>
      <c r="K109" s="48"/>
      <c r="L109" s="48"/>
      <c r="M109" s="48"/>
      <c r="N109" s="49"/>
      <c r="O109" s="6"/>
      <c r="P109" s="48"/>
      <c r="Q109" s="48"/>
      <c r="R109" s="48"/>
      <c r="S109" s="48"/>
      <c r="T109" s="48"/>
      <c r="U109" s="48"/>
      <c r="V109" s="48"/>
      <c r="W109" s="48"/>
      <c r="X109" s="48"/>
      <c r="Y109" s="48"/>
      <c r="Z109" s="48"/>
      <c r="AA109" s="48"/>
      <c r="AB109" s="48"/>
      <c r="AC109" s="48">
        <v>0</v>
      </c>
      <c r="AD109" s="6">
        <v>428427</v>
      </c>
      <c r="AE109" s="48">
        <v>423309</v>
      </c>
      <c r="AF109" s="48">
        <v>539301</v>
      </c>
      <c r="AG109" s="48">
        <v>537189</v>
      </c>
      <c r="AH109" s="48">
        <v>557245</v>
      </c>
      <c r="AI109" s="48">
        <v>577316</v>
      </c>
      <c r="AJ109" s="48">
        <v>593014</v>
      </c>
      <c r="AK109" s="6">
        <v>604555</v>
      </c>
      <c r="AL109" s="6">
        <v>611793</v>
      </c>
      <c r="AM109" s="6">
        <v>597360</v>
      </c>
      <c r="AN109" s="6">
        <v>538532</v>
      </c>
      <c r="AO109" s="6">
        <v>504657</v>
      </c>
      <c r="AP109" s="6">
        <v>488618</v>
      </c>
      <c r="AQ109" s="6">
        <v>480173</v>
      </c>
      <c r="AR109" s="6">
        <v>656765</v>
      </c>
      <c r="AS109" s="6">
        <v>680873</v>
      </c>
      <c r="AT109" s="6">
        <v>717861</v>
      </c>
      <c r="AU109" s="6">
        <v>721171</v>
      </c>
      <c r="AV109" s="6">
        <v>740680</v>
      </c>
      <c r="AW109" s="6">
        <v>755947</v>
      </c>
      <c r="AX109" s="6">
        <v>793091</v>
      </c>
      <c r="AY109" s="6">
        <v>1080815</v>
      </c>
      <c r="AZ109" s="6">
        <v>1164658</v>
      </c>
      <c r="BA109" s="6">
        <v>1200421</v>
      </c>
      <c r="BB109" s="6">
        <v>1178252</v>
      </c>
      <c r="BC109" s="7">
        <v>1064035</v>
      </c>
      <c r="BD109" s="6">
        <v>1216454</v>
      </c>
      <c r="BE109" s="14">
        <f>2011392+52638</f>
        <v>2064030</v>
      </c>
      <c r="BF109" s="6">
        <f>1662240</f>
        <v>1662240</v>
      </c>
      <c r="BG109" s="6">
        <v>1610295</v>
      </c>
      <c r="BH109" s="51">
        <v>1086088</v>
      </c>
      <c r="BI109" s="51">
        <v>1218471</v>
      </c>
      <c r="BJ109" s="51">
        <v>1494782</v>
      </c>
      <c r="BK109" s="51">
        <v>1355907</v>
      </c>
      <c r="BL109" s="51">
        <v>1372057</v>
      </c>
      <c r="BM109" s="51">
        <v>993400</v>
      </c>
      <c r="BN109" s="52"/>
      <c r="BO109" s="11"/>
      <c r="BP109" s="11"/>
      <c r="BQ109" s="52"/>
      <c r="BR109" s="52"/>
      <c r="BS109" s="52"/>
      <c r="BT109" s="11"/>
      <c r="BU109" s="11"/>
    </row>
    <row r="110" spans="1:73" ht="21" customHeight="1">
      <c r="A110" s="5"/>
      <c r="B110" s="5"/>
      <c r="C110" s="5"/>
      <c r="D110" s="5" t="s">
        <v>292</v>
      </c>
      <c r="E110" s="5"/>
      <c r="F110" s="31"/>
      <c r="G110" s="48"/>
      <c r="H110" s="6"/>
      <c r="I110" s="6"/>
      <c r="J110" s="6"/>
      <c r="K110" s="6"/>
      <c r="L110" s="6"/>
      <c r="M110" s="6"/>
      <c r="N110" s="7"/>
      <c r="O110" s="6">
        <v>11509</v>
      </c>
      <c r="P110" s="6">
        <v>14358</v>
      </c>
      <c r="Q110" s="6">
        <v>19516</v>
      </c>
      <c r="R110" s="6">
        <v>26465</v>
      </c>
      <c r="S110" s="6">
        <v>33754</v>
      </c>
      <c r="T110" s="6">
        <v>37921</v>
      </c>
      <c r="U110" s="6">
        <v>30202</v>
      </c>
      <c r="V110" s="13"/>
      <c r="W110" s="6"/>
      <c r="X110" s="13">
        <v>100000</v>
      </c>
      <c r="Y110" s="6">
        <v>262864</v>
      </c>
      <c r="Z110" s="6">
        <v>281217</v>
      </c>
      <c r="AA110" s="6">
        <v>320615</v>
      </c>
      <c r="AB110" s="6">
        <v>353378</v>
      </c>
      <c r="AC110" s="48">
        <v>428096</v>
      </c>
      <c r="AD110" s="6">
        <v>826000</v>
      </c>
      <c r="AE110" s="48">
        <v>996263</v>
      </c>
      <c r="AF110" s="48">
        <v>1065790</v>
      </c>
      <c r="AG110" s="48">
        <v>693239</v>
      </c>
      <c r="AH110" s="48">
        <v>655219</v>
      </c>
      <c r="AI110" s="48">
        <v>588991</v>
      </c>
      <c r="AJ110" s="48">
        <v>617367</v>
      </c>
      <c r="AK110" s="6">
        <v>546044</v>
      </c>
      <c r="AL110" s="6">
        <v>570810</v>
      </c>
      <c r="AM110" s="6">
        <v>589684</v>
      </c>
      <c r="AN110" s="6">
        <v>552034</v>
      </c>
      <c r="AO110" s="6">
        <v>530174</v>
      </c>
      <c r="AP110" s="6">
        <v>489686</v>
      </c>
      <c r="AQ110" s="6">
        <v>519131</v>
      </c>
      <c r="AR110" s="6">
        <v>466785</v>
      </c>
      <c r="AS110" s="6">
        <v>529063</v>
      </c>
      <c r="AT110" s="6">
        <v>674633</v>
      </c>
      <c r="AU110" s="6">
        <v>644548</v>
      </c>
      <c r="AV110" s="6">
        <v>713110</v>
      </c>
      <c r="AW110" s="6">
        <v>800399</v>
      </c>
      <c r="AX110" s="6">
        <v>812113</v>
      </c>
      <c r="AY110" s="6">
        <v>798412</v>
      </c>
      <c r="AZ110" s="6">
        <v>788677</v>
      </c>
      <c r="BA110" s="6">
        <v>775886</v>
      </c>
      <c r="BB110" s="6">
        <v>4557046</v>
      </c>
      <c r="BC110" s="7">
        <v>4063514</v>
      </c>
      <c r="BD110" s="6">
        <v>4952178</v>
      </c>
      <c r="BE110" s="14">
        <v>3472764</v>
      </c>
      <c r="BF110" s="6">
        <f>5843305</f>
        <v>5843305</v>
      </c>
      <c r="BG110" s="6">
        <v>0</v>
      </c>
      <c r="BH110" s="6"/>
      <c r="BI110" s="6"/>
      <c r="BJ110" s="6"/>
      <c r="BK110" s="6"/>
      <c r="BL110" s="6"/>
      <c r="BM110" s="6"/>
      <c r="BN110" s="52"/>
      <c r="BO110" s="11"/>
      <c r="BP110" s="11"/>
      <c r="BQ110" s="52"/>
      <c r="BR110" s="52"/>
      <c r="BS110" s="52"/>
      <c r="BT110" s="11"/>
      <c r="BU110" s="11"/>
    </row>
    <row r="111" spans="1:73" ht="21" customHeight="1">
      <c r="A111" s="5"/>
      <c r="B111" s="5"/>
      <c r="C111" s="12"/>
      <c r="D111" s="26" t="s">
        <v>293</v>
      </c>
      <c r="E111" s="5"/>
      <c r="F111" s="31"/>
      <c r="G111" s="48"/>
      <c r="H111" s="48"/>
      <c r="I111" s="48"/>
      <c r="J111" s="48"/>
      <c r="K111" s="48"/>
      <c r="L111" s="48"/>
      <c r="M111" s="48"/>
      <c r="N111" s="49"/>
      <c r="O111" s="6"/>
      <c r="P111" s="48"/>
      <c r="Q111" s="48"/>
      <c r="R111" s="48"/>
      <c r="S111" s="48"/>
      <c r="T111" s="48"/>
      <c r="U111" s="48"/>
      <c r="V111" s="48"/>
      <c r="W111" s="48"/>
      <c r="X111" s="48"/>
      <c r="Y111" s="48"/>
      <c r="Z111" s="48"/>
      <c r="AA111" s="48"/>
      <c r="AB111" s="48"/>
      <c r="AC111" s="48"/>
      <c r="AD111" s="6"/>
      <c r="AE111" s="48"/>
      <c r="AF111" s="48"/>
      <c r="AG111" s="48"/>
      <c r="AH111" s="48"/>
      <c r="AI111" s="48"/>
      <c r="AJ111" s="48"/>
      <c r="AK111" s="6"/>
      <c r="AL111" s="6"/>
      <c r="AM111" s="6"/>
      <c r="AN111" s="6"/>
      <c r="AO111" s="6"/>
      <c r="AP111" s="6"/>
      <c r="AQ111" s="6"/>
      <c r="AR111" s="6"/>
      <c r="AS111" s="6"/>
      <c r="AT111" s="6"/>
      <c r="AU111" s="6"/>
      <c r="AV111" s="6"/>
      <c r="AW111" s="6"/>
      <c r="AX111" s="6"/>
      <c r="AY111" s="48"/>
      <c r="AZ111" s="6">
        <v>0</v>
      </c>
      <c r="BA111" s="6">
        <v>148000</v>
      </c>
      <c r="BB111" s="6">
        <v>168000</v>
      </c>
      <c r="BC111" s="7">
        <v>185143</v>
      </c>
      <c r="BD111" s="6">
        <v>176379</v>
      </c>
      <c r="BE111" s="14">
        <v>167377</v>
      </c>
      <c r="BF111" s="6"/>
      <c r="BG111" s="6"/>
      <c r="BH111" s="6"/>
      <c r="BI111" s="6"/>
      <c r="BJ111" s="6"/>
      <c r="BK111" s="6"/>
      <c r="BL111" s="6"/>
      <c r="BM111" s="6"/>
      <c r="BN111" s="52"/>
      <c r="BO111" s="11"/>
      <c r="BP111" s="11"/>
      <c r="BQ111" s="52"/>
      <c r="BR111" s="52"/>
      <c r="BS111" s="52"/>
      <c r="BT111" s="11"/>
      <c r="BU111" s="11"/>
    </row>
    <row r="112" spans="1:73" ht="21" customHeight="1">
      <c r="A112" s="5"/>
      <c r="B112" s="5"/>
      <c r="C112" s="12"/>
      <c r="D112" s="26" t="s">
        <v>294</v>
      </c>
      <c r="E112" s="5"/>
      <c r="F112" s="31"/>
      <c r="G112" s="48">
        <v>1938</v>
      </c>
      <c r="H112" s="48">
        <v>3336</v>
      </c>
      <c r="I112" s="48">
        <v>26791</v>
      </c>
      <c r="J112" s="48">
        <v>36846</v>
      </c>
      <c r="K112" s="48">
        <v>36520</v>
      </c>
      <c r="L112" s="48">
        <v>12451</v>
      </c>
      <c r="M112" s="48">
        <v>16429</v>
      </c>
      <c r="N112" s="49">
        <v>10614</v>
      </c>
      <c r="O112" s="6"/>
      <c r="P112" s="48"/>
      <c r="Q112" s="48"/>
      <c r="R112" s="48"/>
      <c r="S112" s="48"/>
      <c r="T112" s="48"/>
      <c r="U112" s="48"/>
      <c r="V112" s="48"/>
      <c r="W112" s="48"/>
      <c r="X112" s="48"/>
      <c r="Y112" s="48"/>
      <c r="Z112" s="48"/>
      <c r="AA112" s="48"/>
      <c r="AB112" s="48"/>
      <c r="AC112" s="48"/>
      <c r="AD112" s="6"/>
      <c r="AE112" s="48"/>
      <c r="AF112" s="48">
        <v>383761</v>
      </c>
      <c r="AG112" s="48">
        <v>396432</v>
      </c>
      <c r="AH112" s="48">
        <v>283120</v>
      </c>
      <c r="AI112" s="48">
        <v>290336</v>
      </c>
      <c r="AJ112" s="48">
        <v>319265</v>
      </c>
      <c r="AK112" s="6">
        <v>346684</v>
      </c>
      <c r="AL112" s="6">
        <v>409771</v>
      </c>
      <c r="AM112" s="6">
        <v>388209</v>
      </c>
      <c r="AN112" s="6">
        <v>321147</v>
      </c>
      <c r="AO112" s="6">
        <v>301871</v>
      </c>
      <c r="AP112" s="6">
        <v>278741</v>
      </c>
      <c r="AQ112" s="6">
        <v>244884</v>
      </c>
      <c r="AR112" s="6">
        <v>222296</v>
      </c>
      <c r="AS112" s="6">
        <v>202461</v>
      </c>
      <c r="AT112" s="6">
        <v>195831</v>
      </c>
      <c r="AU112" s="6">
        <v>85301</v>
      </c>
      <c r="AV112" s="6">
        <v>86051</v>
      </c>
      <c r="AW112" s="13">
        <v>86165</v>
      </c>
      <c r="AX112" s="13">
        <v>117899</v>
      </c>
      <c r="AY112" s="6">
        <v>135636</v>
      </c>
      <c r="AZ112" s="6">
        <v>135259</v>
      </c>
      <c r="BA112" s="6">
        <v>132425</v>
      </c>
      <c r="BB112" s="6">
        <v>119464</v>
      </c>
      <c r="BC112" s="7">
        <v>114215</v>
      </c>
      <c r="BD112" s="6">
        <v>108066</v>
      </c>
      <c r="BE112" s="14">
        <f>95962+5680</f>
        <v>101642</v>
      </c>
      <c r="BF112" s="6">
        <v>94649</v>
      </c>
      <c r="BG112" s="6">
        <v>105545</v>
      </c>
      <c r="BH112" s="51">
        <v>92660</v>
      </c>
      <c r="BI112" s="51">
        <v>87489</v>
      </c>
      <c r="BJ112" s="51">
        <v>115658</v>
      </c>
      <c r="BK112" s="51">
        <v>135118</v>
      </c>
      <c r="BL112" s="51">
        <v>58062</v>
      </c>
      <c r="BM112" s="51">
        <v>2318701</v>
      </c>
      <c r="BN112" s="52"/>
      <c r="BO112" s="11"/>
      <c r="BP112" s="11"/>
      <c r="BQ112" s="52"/>
      <c r="BR112" s="52"/>
      <c r="BS112" s="52"/>
      <c r="BT112" s="11"/>
      <c r="BU112" s="11"/>
    </row>
    <row r="113" spans="1:73" ht="21" customHeight="1">
      <c r="A113" s="5"/>
      <c r="B113" s="5"/>
      <c r="C113" s="5"/>
      <c r="D113" s="5" t="s">
        <v>295</v>
      </c>
      <c r="E113" s="5"/>
      <c r="F113" s="31"/>
      <c r="G113" s="48"/>
      <c r="H113" s="6"/>
      <c r="I113" s="6"/>
      <c r="J113" s="6"/>
      <c r="K113" s="6"/>
      <c r="L113" s="6"/>
      <c r="M113" s="6"/>
      <c r="N113" s="7"/>
      <c r="O113" s="6"/>
      <c r="P113" s="6"/>
      <c r="Q113" s="6"/>
      <c r="R113" s="6"/>
      <c r="S113" s="13"/>
      <c r="T113" s="6">
        <v>10653</v>
      </c>
      <c r="U113" s="6">
        <v>18001</v>
      </c>
      <c r="V113" s="6">
        <v>55701</v>
      </c>
      <c r="W113" s="6">
        <v>74946</v>
      </c>
      <c r="X113" s="6">
        <v>104452</v>
      </c>
      <c r="Y113" s="6">
        <v>131416</v>
      </c>
      <c r="Z113" s="6">
        <v>195620</v>
      </c>
      <c r="AA113" s="6">
        <v>264772</v>
      </c>
      <c r="AB113" s="6">
        <v>361167</v>
      </c>
      <c r="AC113" s="6">
        <v>413062</v>
      </c>
      <c r="AD113" s="6">
        <v>515309</v>
      </c>
      <c r="AE113" s="48">
        <v>735028</v>
      </c>
      <c r="AF113" s="48">
        <v>802241</v>
      </c>
      <c r="AG113" s="48">
        <v>747938</v>
      </c>
      <c r="AH113" s="48">
        <v>716380</v>
      </c>
      <c r="AI113" s="48">
        <v>678114</v>
      </c>
      <c r="AJ113" s="48">
        <v>679207</v>
      </c>
      <c r="AK113" s="6">
        <v>654160</v>
      </c>
      <c r="AL113" s="6">
        <v>635407</v>
      </c>
      <c r="AM113" s="6">
        <v>619542</v>
      </c>
      <c r="AN113" s="6">
        <v>582492</v>
      </c>
      <c r="AO113" s="6">
        <v>561321</v>
      </c>
      <c r="AP113" s="6">
        <v>511259</v>
      </c>
      <c r="AQ113" s="6">
        <v>449632</v>
      </c>
      <c r="AR113" s="6">
        <v>370099</v>
      </c>
      <c r="AS113" s="6">
        <v>361659</v>
      </c>
      <c r="AT113" s="6">
        <v>365353</v>
      </c>
      <c r="AU113" s="6">
        <v>378422</v>
      </c>
      <c r="AV113" s="6">
        <v>805150</v>
      </c>
      <c r="AW113" s="6">
        <v>807140</v>
      </c>
      <c r="AX113" s="6">
        <v>2047679</v>
      </c>
      <c r="AY113" s="6">
        <v>1127050</v>
      </c>
      <c r="AZ113" s="6">
        <v>1191120</v>
      </c>
      <c r="BA113" s="6">
        <v>1346504</v>
      </c>
      <c r="BB113" s="6">
        <v>2355236</v>
      </c>
      <c r="BC113" s="7">
        <v>2983557</v>
      </c>
      <c r="BD113" s="6">
        <v>2988661</v>
      </c>
      <c r="BE113" s="14">
        <f>3093467+242431+17650+12530</f>
        <v>3366078</v>
      </c>
      <c r="BF113" s="6">
        <f>3150281+324152</f>
        <v>3474433</v>
      </c>
      <c r="BG113" s="6">
        <v>10176882</v>
      </c>
      <c r="BH113" s="51">
        <v>4674988</v>
      </c>
      <c r="BI113" s="51">
        <v>3807691</v>
      </c>
      <c r="BJ113" s="51">
        <v>4039751</v>
      </c>
      <c r="BK113" s="51">
        <v>4373753</v>
      </c>
      <c r="BL113" s="51">
        <v>4698378</v>
      </c>
      <c r="BM113" s="6"/>
      <c r="BN113" s="52"/>
      <c r="BO113" s="11"/>
      <c r="BP113" s="11"/>
      <c r="BQ113" s="52"/>
      <c r="BR113" s="52"/>
      <c r="BS113" s="52"/>
      <c r="BT113" s="11"/>
      <c r="BU113" s="11"/>
    </row>
    <row r="114" spans="1:73" ht="21" customHeight="1">
      <c r="A114" s="5"/>
      <c r="B114" s="5"/>
      <c r="C114" s="12"/>
      <c r="D114" s="5" t="s">
        <v>296</v>
      </c>
      <c r="E114" s="5"/>
      <c r="F114" s="31"/>
      <c r="G114" s="48">
        <v>65188</v>
      </c>
      <c r="H114" s="6">
        <v>87680</v>
      </c>
      <c r="I114" s="6">
        <v>105490</v>
      </c>
      <c r="J114" s="6">
        <v>28415</v>
      </c>
      <c r="K114" s="6">
        <v>28226</v>
      </c>
      <c r="L114" s="48">
        <v>28890</v>
      </c>
      <c r="M114" s="48">
        <v>30262</v>
      </c>
      <c r="N114" s="7">
        <v>30636</v>
      </c>
      <c r="O114" s="6">
        <v>34954</v>
      </c>
      <c r="P114" s="6">
        <v>49332</v>
      </c>
      <c r="Q114" s="6">
        <v>56776</v>
      </c>
      <c r="R114" s="6">
        <v>64674</v>
      </c>
      <c r="S114" s="6">
        <v>71108</v>
      </c>
      <c r="T114" s="6">
        <v>63835</v>
      </c>
      <c r="U114" s="6">
        <v>367900</v>
      </c>
      <c r="V114" s="6">
        <v>430609</v>
      </c>
      <c r="W114" s="6">
        <v>511744</v>
      </c>
      <c r="X114" s="6">
        <v>576444</v>
      </c>
      <c r="Y114" s="6">
        <v>0</v>
      </c>
      <c r="Z114" s="6">
        <v>313631</v>
      </c>
      <c r="AA114" s="6">
        <v>400245</v>
      </c>
      <c r="AB114" s="6">
        <v>581286</v>
      </c>
      <c r="AC114" s="6">
        <v>859115</v>
      </c>
      <c r="AD114" s="6">
        <v>1785703</v>
      </c>
      <c r="AE114" s="48">
        <v>1948090</v>
      </c>
      <c r="AF114" s="48">
        <v>2840267</v>
      </c>
      <c r="AG114" s="48">
        <v>4231758</v>
      </c>
      <c r="AH114" s="48">
        <v>4634545</v>
      </c>
      <c r="AI114" s="48">
        <v>4149731</v>
      </c>
      <c r="AJ114" s="48">
        <v>4718137</v>
      </c>
      <c r="AK114" s="6">
        <v>5422680</v>
      </c>
      <c r="AL114" s="6">
        <v>5920144</v>
      </c>
      <c r="AM114" s="6">
        <v>5196574</v>
      </c>
      <c r="AN114" s="6">
        <v>4862345</v>
      </c>
      <c r="AO114" s="6">
        <v>4749540</v>
      </c>
      <c r="AP114" s="6">
        <v>4589387</v>
      </c>
      <c r="AQ114" s="6">
        <v>4303345</v>
      </c>
      <c r="AR114" s="6">
        <v>4301107</v>
      </c>
      <c r="AS114" s="6">
        <v>4346636</v>
      </c>
      <c r="AT114" s="6">
        <v>4446468</v>
      </c>
      <c r="AU114" s="6">
        <v>4446251</v>
      </c>
      <c r="AV114" s="6">
        <v>4562056</v>
      </c>
      <c r="AW114" s="6">
        <v>4639682</v>
      </c>
      <c r="AX114" s="6">
        <v>4773432</v>
      </c>
      <c r="AY114" s="6">
        <v>5555324</v>
      </c>
      <c r="AZ114" s="6">
        <v>5298514</v>
      </c>
      <c r="BA114" s="6">
        <v>5188216</v>
      </c>
      <c r="BB114" s="6">
        <v>5188546</v>
      </c>
      <c r="BC114" s="7">
        <v>5042079</v>
      </c>
      <c r="BD114" s="6">
        <v>5033414</v>
      </c>
      <c r="BE114" s="14">
        <v>5333747</v>
      </c>
      <c r="BF114" s="6">
        <f>4714562+276529</f>
        <v>4991091</v>
      </c>
      <c r="BG114" s="6">
        <v>5981713</v>
      </c>
      <c r="BH114" s="51">
        <v>3944844</v>
      </c>
      <c r="BI114" s="51">
        <v>2729172</v>
      </c>
      <c r="BJ114" s="51">
        <v>2530987</v>
      </c>
      <c r="BK114" s="51">
        <v>2257501</v>
      </c>
      <c r="BL114" s="51">
        <v>2174079</v>
      </c>
      <c r="BM114" s="6"/>
      <c r="BN114" s="52"/>
      <c r="BO114" s="11"/>
      <c r="BP114" s="11"/>
      <c r="BQ114" s="52"/>
      <c r="BR114" s="52"/>
      <c r="BS114" s="52"/>
      <c r="BT114" s="11"/>
      <c r="BU114" s="11"/>
    </row>
    <row r="115" spans="1:73" ht="21" customHeight="1">
      <c r="A115" s="5"/>
      <c r="B115" s="5"/>
      <c r="C115" s="12"/>
      <c r="D115" s="5" t="s">
        <v>297</v>
      </c>
      <c r="E115" s="5"/>
      <c r="F115" s="31"/>
      <c r="G115" s="48">
        <v>27120</v>
      </c>
      <c r="H115" s="48">
        <v>9836</v>
      </c>
      <c r="I115" s="48">
        <v>50963</v>
      </c>
      <c r="J115" s="48">
        <v>9830</v>
      </c>
      <c r="K115" s="48">
        <v>12319</v>
      </c>
      <c r="L115" s="48">
        <v>9860</v>
      </c>
      <c r="M115" s="48">
        <v>21623</v>
      </c>
      <c r="N115" s="49">
        <v>22828</v>
      </c>
      <c r="O115" s="6"/>
      <c r="P115" s="48"/>
      <c r="Q115" s="48"/>
      <c r="R115" s="48"/>
      <c r="S115" s="48"/>
      <c r="T115" s="48"/>
      <c r="U115" s="48"/>
      <c r="V115" s="48"/>
      <c r="W115" s="48"/>
      <c r="X115" s="48"/>
      <c r="Y115" s="48"/>
      <c r="Z115" s="48"/>
      <c r="AA115" s="48"/>
      <c r="AB115" s="48"/>
      <c r="AC115" s="48"/>
      <c r="AD115" s="6">
        <v>299424</v>
      </c>
      <c r="AE115" s="48">
        <v>431712</v>
      </c>
      <c r="AF115" s="48">
        <v>500676</v>
      </c>
      <c r="AG115" s="48">
        <v>633745</v>
      </c>
      <c r="AH115" s="48">
        <v>644827</v>
      </c>
      <c r="AI115" s="48"/>
      <c r="AJ115" s="48"/>
      <c r="AK115" s="6"/>
      <c r="AL115" s="5"/>
      <c r="AM115" s="5"/>
      <c r="AN115" s="31"/>
      <c r="AO115" s="5"/>
      <c r="AP115" s="58"/>
      <c r="AQ115" s="58"/>
      <c r="AR115" s="58"/>
      <c r="AS115" s="6"/>
      <c r="AT115" s="6"/>
      <c r="AU115" s="6"/>
      <c r="AV115" s="6"/>
      <c r="AW115" s="48"/>
      <c r="AX115" s="6"/>
      <c r="AY115" s="48"/>
      <c r="AZ115" s="5"/>
      <c r="BA115" s="5"/>
      <c r="BB115" s="5"/>
      <c r="BC115" s="31"/>
      <c r="BD115" s="5"/>
      <c r="BE115" s="26"/>
      <c r="BF115" s="5"/>
      <c r="BG115" s="5"/>
      <c r="BH115" s="5"/>
      <c r="BI115" s="5"/>
      <c r="BJ115" s="5"/>
      <c r="BK115" s="5"/>
      <c r="BL115" s="5"/>
      <c r="BM115" s="5"/>
      <c r="BN115" s="52"/>
      <c r="BO115" s="11"/>
      <c r="BP115" s="11"/>
      <c r="BQ115" s="52"/>
      <c r="BR115" s="52"/>
      <c r="BS115" s="52"/>
      <c r="BT115" s="11"/>
      <c r="BU115" s="11"/>
    </row>
    <row r="116" spans="1:73" ht="21" customHeight="1">
      <c r="A116" s="5"/>
      <c r="B116" s="5"/>
      <c r="C116" s="12"/>
      <c r="D116" s="5" t="s">
        <v>298</v>
      </c>
      <c r="E116" s="5"/>
      <c r="F116" s="31"/>
      <c r="G116" s="48"/>
      <c r="H116" s="48"/>
      <c r="I116" s="48"/>
      <c r="J116" s="48"/>
      <c r="K116" s="48"/>
      <c r="L116" s="48"/>
      <c r="M116" s="48"/>
      <c r="N116" s="49"/>
      <c r="O116" s="6"/>
      <c r="P116" s="48"/>
      <c r="Q116" s="48"/>
      <c r="R116" s="48"/>
      <c r="S116" s="48"/>
      <c r="T116" s="48"/>
      <c r="U116" s="48"/>
      <c r="V116" s="48"/>
      <c r="W116" s="48"/>
      <c r="X116" s="48"/>
      <c r="Y116" s="48"/>
      <c r="Z116" s="48"/>
      <c r="AA116" s="48"/>
      <c r="AB116" s="48"/>
      <c r="AC116" s="48"/>
      <c r="AD116" s="6"/>
      <c r="AE116" s="48">
        <v>281834</v>
      </c>
      <c r="AF116" s="48">
        <v>810237</v>
      </c>
      <c r="AG116" s="48">
        <v>1107345</v>
      </c>
      <c r="AH116" s="48">
        <v>391477</v>
      </c>
      <c r="AI116" s="48"/>
      <c r="AJ116" s="48"/>
      <c r="AK116" s="6"/>
      <c r="AL116" s="5"/>
      <c r="AM116" s="5"/>
      <c r="AN116" s="59"/>
      <c r="AO116" s="5"/>
      <c r="AP116" s="5"/>
      <c r="AQ116" s="5"/>
      <c r="AR116" s="5"/>
      <c r="AS116" s="6"/>
      <c r="AT116" s="6"/>
      <c r="AU116" s="6"/>
      <c r="AV116" s="6"/>
      <c r="AW116" s="48"/>
      <c r="AX116" s="6"/>
      <c r="AY116" s="48"/>
      <c r="AZ116" s="5"/>
      <c r="BA116" s="5"/>
      <c r="BB116" s="5"/>
      <c r="BC116" s="31"/>
      <c r="BD116" s="5"/>
      <c r="BE116" s="26"/>
      <c r="BF116" s="5"/>
      <c r="BG116" s="5"/>
      <c r="BH116" s="5"/>
      <c r="BI116" s="5"/>
      <c r="BJ116" s="5"/>
      <c r="BK116" s="5"/>
      <c r="BL116" s="5"/>
      <c r="BM116" s="5"/>
      <c r="BN116" s="52"/>
      <c r="BO116" s="11"/>
      <c r="BP116" s="11"/>
      <c r="BQ116" s="52"/>
      <c r="BR116" s="52"/>
      <c r="BS116" s="52"/>
      <c r="BT116" s="11"/>
      <c r="BU116" s="11"/>
    </row>
    <row r="117" spans="1:73" ht="21" customHeight="1">
      <c r="A117" s="5"/>
      <c r="B117" s="5"/>
      <c r="C117" s="12"/>
      <c r="D117" s="5" t="s">
        <v>299</v>
      </c>
      <c r="E117" s="5"/>
      <c r="F117" s="31"/>
      <c r="G117" s="48"/>
      <c r="H117" s="48"/>
      <c r="I117" s="48"/>
      <c r="J117" s="48">
        <v>25447</v>
      </c>
      <c r="K117" s="48">
        <v>25257</v>
      </c>
      <c r="L117" s="48">
        <v>23842</v>
      </c>
      <c r="M117" s="48">
        <v>15859</v>
      </c>
      <c r="N117" s="49">
        <v>17786</v>
      </c>
      <c r="O117" s="6"/>
      <c r="P117" s="48"/>
      <c r="Q117" s="48"/>
      <c r="R117" s="48"/>
      <c r="S117" s="48"/>
      <c r="T117" s="48"/>
      <c r="U117" s="48"/>
      <c r="V117" s="48"/>
      <c r="W117" s="48"/>
      <c r="X117" s="48"/>
      <c r="Y117" s="48"/>
      <c r="Z117" s="48"/>
      <c r="AA117" s="48"/>
      <c r="AB117" s="48"/>
      <c r="AC117" s="48"/>
      <c r="AD117" s="6">
        <v>329476</v>
      </c>
      <c r="AE117" s="48">
        <v>361380</v>
      </c>
      <c r="AF117" s="48">
        <v>393873</v>
      </c>
      <c r="AG117" s="48">
        <v>406121</v>
      </c>
      <c r="AH117" s="48">
        <v>439085</v>
      </c>
      <c r="AI117" s="48">
        <v>545787</v>
      </c>
      <c r="AJ117" s="48">
        <v>586645</v>
      </c>
      <c r="AK117" s="6">
        <v>616916</v>
      </c>
      <c r="AL117" s="6">
        <v>632117</v>
      </c>
      <c r="AM117" s="6">
        <v>610750</v>
      </c>
      <c r="AN117" s="6">
        <v>641595</v>
      </c>
      <c r="AO117" s="6">
        <v>650546</v>
      </c>
      <c r="AP117" s="6">
        <v>545313</v>
      </c>
      <c r="AQ117" s="6">
        <v>540679</v>
      </c>
      <c r="AR117" s="6">
        <v>558965</v>
      </c>
      <c r="AS117" s="6">
        <v>596201</v>
      </c>
      <c r="AT117" s="6">
        <v>589021</v>
      </c>
      <c r="AU117" s="6">
        <v>638486</v>
      </c>
      <c r="AV117" s="6">
        <v>770420</v>
      </c>
      <c r="AW117" s="6">
        <v>807552</v>
      </c>
      <c r="AX117" s="6">
        <v>869637</v>
      </c>
      <c r="AY117" s="6">
        <v>840916</v>
      </c>
      <c r="AZ117" s="6">
        <v>890689</v>
      </c>
      <c r="BA117" s="6">
        <v>998047</v>
      </c>
      <c r="BB117" s="6">
        <v>1034347</v>
      </c>
      <c r="BC117" s="7">
        <v>1040527</v>
      </c>
      <c r="BD117" s="6">
        <v>1136154</v>
      </c>
      <c r="BE117" s="14">
        <f>998144+73176</f>
        <v>1071320</v>
      </c>
      <c r="BF117" s="6">
        <f>924139</f>
        <v>924139</v>
      </c>
      <c r="BG117" s="6">
        <v>1013182</v>
      </c>
      <c r="BH117" s="51">
        <v>1092174</v>
      </c>
      <c r="BI117" s="51">
        <v>1173418</v>
      </c>
      <c r="BJ117" s="51">
        <v>1257477</v>
      </c>
      <c r="BK117" s="6"/>
      <c r="BL117" s="51"/>
      <c r="BM117" s="51">
        <v>1423762</v>
      </c>
      <c r="BN117" s="52"/>
      <c r="BO117" s="11"/>
      <c r="BP117" s="11"/>
      <c r="BQ117" s="52"/>
      <c r="BR117" s="52"/>
      <c r="BS117" s="52"/>
      <c r="BT117" s="11"/>
      <c r="BU117" s="11"/>
    </row>
    <row r="118" spans="1:73" ht="21" customHeight="1">
      <c r="A118" s="5"/>
      <c r="B118" s="5"/>
      <c r="C118" s="12"/>
      <c r="D118" s="5" t="s">
        <v>300</v>
      </c>
      <c r="E118" s="5"/>
      <c r="F118" s="31"/>
      <c r="G118" s="48"/>
      <c r="H118" s="48"/>
      <c r="I118" s="48"/>
      <c r="J118" s="48"/>
      <c r="K118" s="48"/>
      <c r="L118" s="48"/>
      <c r="M118" s="48"/>
      <c r="N118" s="49"/>
      <c r="O118" s="6"/>
      <c r="P118" s="48"/>
      <c r="Q118" s="48"/>
      <c r="R118" s="48"/>
      <c r="S118" s="48"/>
      <c r="T118" s="48"/>
      <c r="U118" s="48"/>
      <c r="V118" s="48"/>
      <c r="W118" s="48"/>
      <c r="X118" s="48"/>
      <c r="Y118" s="48"/>
      <c r="Z118" s="48"/>
      <c r="AA118" s="48"/>
      <c r="AB118" s="48"/>
      <c r="AC118" s="48"/>
      <c r="AD118" s="6"/>
      <c r="AE118" s="48"/>
      <c r="AF118" s="48"/>
      <c r="AG118" s="48"/>
      <c r="AH118" s="48"/>
      <c r="AI118" s="48"/>
      <c r="AJ118" s="48"/>
      <c r="AK118" s="13"/>
      <c r="AL118" s="6">
        <v>504011</v>
      </c>
      <c r="AM118" s="6">
        <v>583964</v>
      </c>
      <c r="AN118" s="6">
        <v>587578</v>
      </c>
      <c r="AO118" s="6">
        <v>524406</v>
      </c>
      <c r="AP118" s="6">
        <v>274641</v>
      </c>
      <c r="AQ118" s="6">
        <v>56582</v>
      </c>
      <c r="AR118" s="5"/>
      <c r="AS118" s="6"/>
      <c r="AT118" s="6"/>
      <c r="AU118" s="6"/>
      <c r="AV118" s="6"/>
      <c r="AW118" s="48"/>
      <c r="AX118" s="6"/>
      <c r="AY118" s="48"/>
      <c r="AZ118" s="5"/>
      <c r="BA118" s="5"/>
      <c r="BB118" s="5"/>
      <c r="BC118" s="31"/>
      <c r="BD118" s="5"/>
      <c r="BE118" s="26"/>
      <c r="BF118" s="5"/>
      <c r="BG118" s="5"/>
      <c r="BH118" s="5"/>
      <c r="BI118" s="5"/>
      <c r="BJ118" s="5"/>
      <c r="BK118" s="5"/>
      <c r="BL118" s="5"/>
      <c r="BM118" s="5"/>
      <c r="BN118" s="52"/>
      <c r="BO118" s="11"/>
      <c r="BP118" s="11"/>
      <c r="BQ118" s="52"/>
      <c r="BR118" s="52"/>
      <c r="BS118" s="52"/>
      <c r="BT118" s="11"/>
      <c r="BU118" s="11"/>
    </row>
    <row r="119" spans="1:65" ht="21" customHeight="1">
      <c r="A119" s="5"/>
      <c r="B119" s="5"/>
      <c r="C119" s="12"/>
      <c r="D119" s="5" t="s">
        <v>301</v>
      </c>
      <c r="E119" s="5"/>
      <c r="F119" s="31"/>
      <c r="G119" s="48"/>
      <c r="H119" s="48"/>
      <c r="I119" s="48"/>
      <c r="J119" s="48"/>
      <c r="K119" s="48"/>
      <c r="L119" s="48"/>
      <c r="M119" s="48"/>
      <c r="N119" s="49"/>
      <c r="O119" s="6"/>
      <c r="P119" s="48"/>
      <c r="Q119" s="48"/>
      <c r="R119" s="48"/>
      <c r="S119" s="48"/>
      <c r="T119" s="48"/>
      <c r="U119" s="48"/>
      <c r="V119" s="48"/>
      <c r="W119" s="48"/>
      <c r="X119" s="48"/>
      <c r="Y119" s="48"/>
      <c r="Z119" s="48"/>
      <c r="AA119" s="48"/>
      <c r="AB119" s="48"/>
      <c r="AC119" s="48"/>
      <c r="AD119" s="6"/>
      <c r="AE119" s="48"/>
      <c r="AF119" s="48"/>
      <c r="AG119" s="48"/>
      <c r="AH119" s="48"/>
      <c r="AI119" s="48"/>
      <c r="AJ119" s="48"/>
      <c r="AK119" s="6"/>
      <c r="AL119" s="6"/>
      <c r="AM119" s="6"/>
      <c r="AN119" s="6"/>
      <c r="AO119" s="6"/>
      <c r="AP119" s="6"/>
      <c r="AQ119" s="6">
        <v>182944</v>
      </c>
      <c r="AR119" s="6">
        <v>429235</v>
      </c>
      <c r="AS119" s="6">
        <v>495995</v>
      </c>
      <c r="AT119" s="6">
        <v>504449</v>
      </c>
      <c r="AU119" s="6">
        <v>459811</v>
      </c>
      <c r="AV119" s="6">
        <v>434442</v>
      </c>
      <c r="AW119" s="6">
        <v>420346</v>
      </c>
      <c r="AX119" s="6">
        <v>317748</v>
      </c>
      <c r="AY119" s="6">
        <v>353501</v>
      </c>
      <c r="AZ119" s="6">
        <v>376624</v>
      </c>
      <c r="BA119" s="6">
        <v>249907</v>
      </c>
      <c r="BB119" s="6">
        <v>245028</v>
      </c>
      <c r="BC119" s="7">
        <v>216638</v>
      </c>
      <c r="BD119" s="6">
        <v>172659</v>
      </c>
      <c r="BE119" s="14">
        <f>110957+809</f>
        <v>111766</v>
      </c>
      <c r="BF119" s="6"/>
      <c r="BG119" s="6"/>
      <c r="BH119" s="6"/>
      <c r="BI119" s="6"/>
      <c r="BJ119" s="6"/>
      <c r="BK119" s="6"/>
      <c r="BL119" s="6"/>
      <c r="BM119" s="6"/>
    </row>
    <row r="120" spans="1:65" ht="21" customHeight="1">
      <c r="A120" s="5"/>
      <c r="B120" s="5"/>
      <c r="C120" s="12"/>
      <c r="D120" s="5" t="s">
        <v>302</v>
      </c>
      <c r="E120" s="5"/>
      <c r="F120" s="31"/>
      <c r="G120" s="48"/>
      <c r="H120" s="48"/>
      <c r="I120" s="48"/>
      <c r="J120" s="48"/>
      <c r="K120" s="48"/>
      <c r="L120" s="48"/>
      <c r="M120" s="48"/>
      <c r="N120" s="49"/>
      <c r="O120" s="6"/>
      <c r="P120" s="48"/>
      <c r="Q120" s="48"/>
      <c r="R120" s="48"/>
      <c r="S120" s="48"/>
      <c r="T120" s="48"/>
      <c r="U120" s="48"/>
      <c r="V120" s="48"/>
      <c r="W120" s="48"/>
      <c r="X120" s="48"/>
      <c r="Y120" s="48"/>
      <c r="Z120" s="48"/>
      <c r="AA120" s="48"/>
      <c r="AB120" s="48"/>
      <c r="AC120" s="48"/>
      <c r="AD120" s="6"/>
      <c r="AE120" s="48"/>
      <c r="AF120" s="48"/>
      <c r="AG120" s="48"/>
      <c r="AH120" s="48"/>
      <c r="AI120" s="48"/>
      <c r="AJ120" s="48"/>
      <c r="AK120" s="6"/>
      <c r="AL120" s="6"/>
      <c r="AM120" s="6"/>
      <c r="AN120" s="6"/>
      <c r="AO120" s="6"/>
      <c r="AP120" s="6"/>
      <c r="AQ120" s="6"/>
      <c r="AR120" s="6"/>
      <c r="AS120" s="13">
        <v>237035</v>
      </c>
      <c r="AT120" s="6"/>
      <c r="AU120" s="6"/>
      <c r="AV120" s="6"/>
      <c r="AW120" s="6"/>
      <c r="AX120" s="6"/>
      <c r="AY120" s="48"/>
      <c r="AZ120" s="5"/>
      <c r="BA120" s="5"/>
      <c r="BB120" s="5"/>
      <c r="BC120" s="31"/>
      <c r="BD120" s="6"/>
      <c r="BE120" s="14"/>
      <c r="BF120" s="6"/>
      <c r="BG120" s="6"/>
      <c r="BH120" s="6"/>
      <c r="BI120" s="6"/>
      <c r="BJ120" s="6"/>
      <c r="BK120" s="6"/>
      <c r="BL120" s="6"/>
      <c r="BM120" s="6"/>
    </row>
    <row r="121" spans="1:65" ht="21" customHeight="1">
      <c r="A121" s="5"/>
      <c r="B121" s="5"/>
      <c r="C121" s="12"/>
      <c r="D121" s="5" t="s">
        <v>303</v>
      </c>
      <c r="E121" s="5"/>
      <c r="F121" s="31"/>
      <c r="G121" s="48"/>
      <c r="H121" s="48"/>
      <c r="I121" s="48"/>
      <c r="J121" s="48"/>
      <c r="K121" s="48"/>
      <c r="L121" s="48"/>
      <c r="M121" s="48"/>
      <c r="N121" s="49"/>
      <c r="O121" s="6"/>
      <c r="P121" s="48"/>
      <c r="Q121" s="48"/>
      <c r="R121" s="48"/>
      <c r="S121" s="48"/>
      <c r="T121" s="48"/>
      <c r="U121" s="48"/>
      <c r="V121" s="48"/>
      <c r="W121" s="48"/>
      <c r="X121" s="48"/>
      <c r="Y121" s="48"/>
      <c r="Z121" s="48"/>
      <c r="AA121" s="48"/>
      <c r="AB121" s="48"/>
      <c r="AC121" s="48"/>
      <c r="AD121" s="6"/>
      <c r="AE121" s="48"/>
      <c r="AF121" s="48"/>
      <c r="AG121" s="48"/>
      <c r="AH121" s="48"/>
      <c r="AI121" s="48"/>
      <c r="AJ121" s="48"/>
      <c r="AK121" s="6"/>
      <c r="AL121" s="6"/>
      <c r="AM121" s="6"/>
      <c r="AN121" s="6"/>
      <c r="AO121" s="6"/>
      <c r="AP121" s="6"/>
      <c r="AQ121" s="6"/>
      <c r="AR121" s="6"/>
      <c r="AS121" s="6"/>
      <c r="AT121" s="13">
        <v>590191</v>
      </c>
      <c r="AU121" s="6">
        <v>556776</v>
      </c>
      <c r="AV121" s="6">
        <v>659728</v>
      </c>
      <c r="AW121" s="6">
        <v>612368</v>
      </c>
      <c r="AX121" s="6">
        <v>635002</v>
      </c>
      <c r="AY121" s="6">
        <v>1203987</v>
      </c>
      <c r="AZ121" s="6">
        <v>2029318</v>
      </c>
      <c r="BA121" s="6">
        <v>1352712</v>
      </c>
      <c r="BB121" s="6">
        <v>1960860</v>
      </c>
      <c r="BC121" s="7">
        <v>1641597</v>
      </c>
      <c r="BD121" s="6">
        <v>2227184</v>
      </c>
      <c r="BE121" s="14">
        <f>2808516+22438</f>
        <v>2830954</v>
      </c>
      <c r="BF121" s="6">
        <v>4826127</v>
      </c>
      <c r="BG121" s="6">
        <v>4714931</v>
      </c>
      <c r="BH121" s="51">
        <v>2819569</v>
      </c>
      <c r="BI121" s="51">
        <v>2801355</v>
      </c>
      <c r="BJ121" s="51">
        <v>2355904</v>
      </c>
      <c r="BK121" s="51">
        <v>2442690</v>
      </c>
      <c r="BL121" s="51">
        <v>2716555</v>
      </c>
      <c r="BM121" s="6"/>
    </row>
    <row r="122" spans="1:65" ht="21" customHeight="1">
      <c r="A122" s="5"/>
      <c r="B122" s="5"/>
      <c r="C122" s="12"/>
      <c r="D122" s="39" t="s">
        <v>304</v>
      </c>
      <c r="E122" s="39"/>
      <c r="F122" s="60"/>
      <c r="G122" s="48"/>
      <c r="H122" s="48"/>
      <c r="I122" s="48"/>
      <c r="J122" s="48"/>
      <c r="K122" s="48"/>
      <c r="L122" s="48"/>
      <c r="M122" s="48"/>
      <c r="N122" s="49"/>
      <c r="O122" s="6"/>
      <c r="P122" s="48"/>
      <c r="Q122" s="48"/>
      <c r="R122" s="48"/>
      <c r="S122" s="48"/>
      <c r="T122" s="48"/>
      <c r="U122" s="48"/>
      <c r="V122" s="48"/>
      <c r="W122" s="48"/>
      <c r="X122" s="48"/>
      <c r="Y122" s="48"/>
      <c r="Z122" s="48"/>
      <c r="AA122" s="48"/>
      <c r="AB122" s="48"/>
      <c r="AC122" s="48"/>
      <c r="AD122" s="6"/>
      <c r="AE122" s="48"/>
      <c r="AF122" s="48"/>
      <c r="AG122" s="48"/>
      <c r="AH122" s="48"/>
      <c r="AI122" s="48"/>
      <c r="AJ122" s="48"/>
      <c r="AK122" s="6"/>
      <c r="AL122" s="6"/>
      <c r="AM122" s="6"/>
      <c r="AN122" s="6"/>
      <c r="AO122" s="6"/>
      <c r="AP122" s="6"/>
      <c r="AQ122" s="6">
        <v>0</v>
      </c>
      <c r="AR122" s="6">
        <v>1000000</v>
      </c>
      <c r="AS122" s="6">
        <v>0</v>
      </c>
      <c r="AT122" s="6">
        <v>3200000</v>
      </c>
      <c r="AU122" s="6">
        <v>3650000</v>
      </c>
      <c r="AV122" s="6">
        <v>8500000</v>
      </c>
      <c r="AW122" s="6">
        <v>20600000</v>
      </c>
      <c r="AX122" s="6">
        <v>22822000</v>
      </c>
      <c r="AY122" s="6">
        <v>24250000</v>
      </c>
      <c r="AZ122" s="6">
        <v>24816000</v>
      </c>
      <c r="BA122" s="6">
        <v>25188000</v>
      </c>
      <c r="BB122" s="6">
        <v>22709000</v>
      </c>
      <c r="BC122" s="7">
        <v>14220000</v>
      </c>
      <c r="BD122" s="6">
        <v>11600000</v>
      </c>
      <c r="BE122" s="14">
        <f>10600000</f>
        <v>10600000</v>
      </c>
      <c r="BF122" s="6">
        <v>10000000</v>
      </c>
      <c r="BG122" s="6">
        <v>7000000</v>
      </c>
      <c r="BH122" s="51">
        <v>5250000</v>
      </c>
      <c r="BI122" s="51">
        <v>4000000</v>
      </c>
      <c r="BJ122" s="51">
        <v>2000000</v>
      </c>
      <c r="BK122" s="51">
        <v>4800000</v>
      </c>
      <c r="BL122" s="51">
        <v>2500000</v>
      </c>
      <c r="BM122" s="51">
        <v>2386579</v>
      </c>
    </row>
    <row r="123" spans="1:65" ht="21" customHeight="1">
      <c r="A123" s="5"/>
      <c r="B123" s="5"/>
      <c r="C123" s="12"/>
      <c r="D123" s="5" t="s">
        <v>239</v>
      </c>
      <c r="E123" s="5"/>
      <c r="F123" s="31"/>
      <c r="G123" s="6">
        <v>11420</v>
      </c>
      <c r="H123" s="6">
        <v>6887</v>
      </c>
      <c r="I123" s="6">
        <v>23178</v>
      </c>
      <c r="J123" s="6">
        <v>19892</v>
      </c>
      <c r="K123" s="6">
        <v>7478</v>
      </c>
      <c r="L123" s="6">
        <v>7279</v>
      </c>
      <c r="M123" s="6">
        <v>6923</v>
      </c>
      <c r="N123" s="7">
        <v>80416</v>
      </c>
      <c r="O123" s="6">
        <f>3016380-O93</f>
        <v>311756</v>
      </c>
      <c r="P123" s="6">
        <f>3149002-P93</f>
        <v>271618</v>
      </c>
      <c r="Q123" s="6">
        <f>3418078-Q93</f>
        <v>302723</v>
      </c>
      <c r="R123" s="6">
        <f>3783366-R93</f>
        <v>26713</v>
      </c>
      <c r="S123" s="6">
        <f>4317540-S93</f>
        <v>139466</v>
      </c>
      <c r="T123" s="6">
        <f>4831292-T93</f>
        <v>417256</v>
      </c>
      <c r="U123" s="6">
        <f>5453985-U93</f>
        <v>296827</v>
      </c>
      <c r="V123" s="6">
        <f>6035226-V93</f>
        <v>237078</v>
      </c>
      <c r="W123" s="6">
        <f>6905471-W93</f>
        <v>440191</v>
      </c>
      <c r="X123" s="6">
        <f>7505393-X93</f>
        <v>370642</v>
      </c>
      <c r="Y123" s="6">
        <f>8193233-Y93</f>
        <v>624824</v>
      </c>
      <c r="Z123" s="6">
        <f>9035410-Z93</f>
        <v>222579</v>
      </c>
      <c r="AA123" s="6">
        <f>10576349-AA93</f>
        <v>288102</v>
      </c>
      <c r="AB123" s="6">
        <f>12756877-AB93</f>
        <v>410450</v>
      </c>
      <c r="AC123" s="6">
        <f>14812096-AC93</f>
        <v>687991</v>
      </c>
      <c r="AD123" s="6">
        <v>182374</v>
      </c>
      <c r="AE123" s="48">
        <v>202645</v>
      </c>
      <c r="AF123" s="48">
        <v>253901</v>
      </c>
      <c r="AG123" s="48">
        <v>270787</v>
      </c>
      <c r="AH123" s="48">
        <v>300900</v>
      </c>
      <c r="AI123" s="48">
        <v>307477</v>
      </c>
      <c r="AJ123" s="48">
        <v>321232</v>
      </c>
      <c r="AK123" s="6">
        <v>333974</v>
      </c>
      <c r="AL123" s="6">
        <v>334177</v>
      </c>
      <c r="AM123" s="6">
        <v>340479</v>
      </c>
      <c r="AN123" s="6">
        <v>315147</v>
      </c>
      <c r="AO123" s="6">
        <v>344168</v>
      </c>
      <c r="AP123" s="6">
        <v>340708</v>
      </c>
      <c r="AQ123" s="6">
        <v>338174</v>
      </c>
      <c r="AR123" s="6">
        <v>387784</v>
      </c>
      <c r="AS123" s="6">
        <v>400333</v>
      </c>
      <c r="AT123" s="6">
        <v>423306</v>
      </c>
      <c r="AU123" s="6">
        <v>456400</v>
      </c>
      <c r="AV123" s="6">
        <v>469823</v>
      </c>
      <c r="AW123" s="6">
        <v>493839</v>
      </c>
      <c r="AX123" s="6">
        <v>534719</v>
      </c>
      <c r="AY123" s="6">
        <v>539234</v>
      </c>
      <c r="AZ123" s="6">
        <v>559227</v>
      </c>
      <c r="BA123" s="6">
        <v>696688</v>
      </c>
      <c r="BB123" s="6">
        <v>1182502</v>
      </c>
      <c r="BC123" s="7">
        <v>1733026</v>
      </c>
      <c r="BD123" s="6">
        <v>3499048</v>
      </c>
      <c r="BE123" s="14">
        <v>6569646</v>
      </c>
      <c r="BF123" s="6">
        <f>92263+3057962+508310+1449748+17296+490319+2048919+113743+1066414+567907+62936</f>
        <v>9475817</v>
      </c>
      <c r="BG123" s="6">
        <v>9137269</v>
      </c>
      <c r="BH123" s="51">
        <v>8454700</v>
      </c>
      <c r="BI123" s="51">
        <v>8546109</v>
      </c>
      <c r="BJ123" s="51">
        <v>7893116</v>
      </c>
      <c r="BK123" s="51">
        <v>8542168</v>
      </c>
      <c r="BL123" s="51">
        <v>10118474</v>
      </c>
      <c r="BM123" s="51">
        <v>16538535</v>
      </c>
    </row>
    <row r="124" spans="1:65" ht="21" customHeight="1">
      <c r="A124" s="5"/>
      <c r="B124" s="47"/>
      <c r="C124" s="5" t="s">
        <v>305</v>
      </c>
      <c r="D124" s="5"/>
      <c r="E124" s="5"/>
      <c r="F124" s="31"/>
      <c r="G124" s="6"/>
      <c r="H124" s="6">
        <v>0</v>
      </c>
      <c r="I124" s="6">
        <v>10000</v>
      </c>
      <c r="J124" s="6">
        <v>130584</v>
      </c>
      <c r="K124" s="6">
        <v>101850</v>
      </c>
      <c r="L124" s="6"/>
      <c r="M124" s="6"/>
      <c r="N124" s="7"/>
      <c r="O124" s="6"/>
      <c r="P124" s="6"/>
      <c r="Q124" s="6"/>
      <c r="R124" s="6"/>
      <c r="S124" s="6"/>
      <c r="T124" s="6"/>
      <c r="U124" s="6"/>
      <c r="V124" s="6"/>
      <c r="W124" s="6"/>
      <c r="X124" s="6"/>
      <c r="Y124" s="6"/>
      <c r="Z124" s="6"/>
      <c r="AA124" s="6"/>
      <c r="AB124" s="6"/>
      <c r="AC124" s="6"/>
      <c r="AD124" s="6"/>
      <c r="AE124" s="6"/>
      <c r="AF124" s="6"/>
      <c r="AG124" s="6"/>
      <c r="AH124" s="6"/>
      <c r="AI124" s="6"/>
      <c r="AJ124" s="6"/>
      <c r="AK124" s="6"/>
      <c r="AL124" s="56"/>
      <c r="AM124" s="6">
        <v>1196235</v>
      </c>
      <c r="AN124" s="6">
        <v>1384414</v>
      </c>
      <c r="AO124" s="6">
        <v>504568</v>
      </c>
      <c r="AP124" s="6">
        <v>504163</v>
      </c>
      <c r="AQ124" s="6">
        <v>71834</v>
      </c>
      <c r="AR124" s="6">
        <v>37834</v>
      </c>
      <c r="AS124" s="6">
        <v>37834</v>
      </c>
      <c r="AT124" s="6">
        <v>49808</v>
      </c>
      <c r="AU124" s="6">
        <v>73806</v>
      </c>
      <c r="AV124" s="6">
        <v>113430</v>
      </c>
      <c r="AW124" s="6">
        <v>269430</v>
      </c>
      <c r="AX124" s="6">
        <v>507430</v>
      </c>
      <c r="AY124" s="6">
        <v>819744</v>
      </c>
      <c r="AZ124" s="6">
        <v>2182815</v>
      </c>
      <c r="BA124" s="6">
        <v>4314000</v>
      </c>
      <c r="BB124" s="6">
        <v>943270</v>
      </c>
      <c r="BC124" s="7">
        <v>915205</v>
      </c>
      <c r="BD124" s="6">
        <v>935000</v>
      </c>
      <c r="BE124" s="14">
        <f>1766794</f>
        <v>1766794</v>
      </c>
      <c r="BF124" s="6">
        <v>1057780</v>
      </c>
      <c r="BG124" s="6">
        <v>1050970</v>
      </c>
      <c r="BH124" s="51">
        <v>924998</v>
      </c>
      <c r="BI124" s="51">
        <v>922502</v>
      </c>
      <c r="BJ124" s="51">
        <v>1447769</v>
      </c>
      <c r="BK124" s="51">
        <v>1430864</v>
      </c>
      <c r="BL124" s="51">
        <v>1401597</v>
      </c>
      <c r="BM124" s="51">
        <v>1999960</v>
      </c>
    </row>
    <row r="125" spans="1:65" ht="21" customHeight="1">
      <c r="A125" s="5"/>
      <c r="B125" s="47"/>
      <c r="C125" s="5" t="s">
        <v>306</v>
      </c>
      <c r="D125" s="5"/>
      <c r="E125" s="5"/>
      <c r="F125" s="31"/>
      <c r="G125" s="6">
        <v>298318</v>
      </c>
      <c r="H125" s="6">
        <v>392160</v>
      </c>
      <c r="I125" s="6">
        <v>345046</v>
      </c>
      <c r="J125" s="6">
        <v>142327</v>
      </c>
      <c r="K125" s="6">
        <v>193724</v>
      </c>
      <c r="L125" s="6">
        <v>146848</v>
      </c>
      <c r="M125" s="6">
        <v>197890</v>
      </c>
      <c r="N125" s="7">
        <v>150553</v>
      </c>
      <c r="O125" s="6">
        <v>207114</v>
      </c>
      <c r="P125" s="6">
        <v>156776</v>
      </c>
      <c r="Q125" s="6">
        <v>237474</v>
      </c>
      <c r="R125" s="6">
        <v>198401</v>
      </c>
      <c r="S125" s="6">
        <v>291587</v>
      </c>
      <c r="T125" s="6">
        <v>282495</v>
      </c>
      <c r="U125" s="6">
        <v>391435</v>
      </c>
      <c r="V125" s="6">
        <v>360167</v>
      </c>
      <c r="W125" s="6">
        <v>578393</v>
      </c>
      <c r="X125" s="6">
        <v>458340</v>
      </c>
      <c r="Y125" s="6">
        <v>761734</v>
      </c>
      <c r="Z125" s="6">
        <v>478599</v>
      </c>
      <c r="AA125" s="6">
        <v>935257</v>
      </c>
      <c r="AB125" s="6">
        <v>674186</v>
      </c>
      <c r="AC125" s="6">
        <v>1411881</v>
      </c>
      <c r="AD125" s="6">
        <v>1072365</v>
      </c>
      <c r="AE125" s="6">
        <v>2455416</v>
      </c>
      <c r="AF125" s="6">
        <v>1836570</v>
      </c>
      <c r="AG125" s="6">
        <v>3681390</v>
      </c>
      <c r="AH125" s="6">
        <v>2091092</v>
      </c>
      <c r="AI125" s="6">
        <v>2308359</v>
      </c>
      <c r="AJ125" s="6">
        <v>4699831</v>
      </c>
      <c r="AK125" s="6">
        <v>2706687</v>
      </c>
      <c r="AL125" s="6">
        <v>2706480</v>
      </c>
      <c r="AM125" s="6">
        <v>2631978</v>
      </c>
      <c r="AN125" s="6">
        <v>2468261</v>
      </c>
      <c r="AO125" s="6">
        <v>2060385</v>
      </c>
      <c r="AP125" s="6">
        <v>2182110</v>
      </c>
      <c r="AQ125" s="6">
        <v>1964253</v>
      </c>
      <c r="AR125" s="6">
        <v>2042188</v>
      </c>
      <c r="AS125" s="6">
        <v>2278191</v>
      </c>
      <c r="AT125" s="6">
        <v>2098097</v>
      </c>
      <c r="AU125" s="6">
        <v>1095086</v>
      </c>
      <c r="AV125" s="6">
        <v>1168076</v>
      </c>
      <c r="AW125" s="6">
        <v>1272136</v>
      </c>
      <c r="AX125" s="6">
        <v>1321437</v>
      </c>
      <c r="AY125" s="6">
        <v>1352958</v>
      </c>
      <c r="AZ125" s="6">
        <v>1496280</v>
      </c>
      <c r="BA125" s="6">
        <v>1674795</v>
      </c>
      <c r="BB125" s="6">
        <v>1685845</v>
      </c>
      <c r="BC125" s="7">
        <v>1737530</v>
      </c>
      <c r="BD125" s="6">
        <v>1646002</v>
      </c>
      <c r="BE125" s="14">
        <f>1034629+342650+78712+83762</f>
        <v>1539753</v>
      </c>
      <c r="BF125" s="6">
        <f>736658+383591+1110282</f>
        <v>2230531</v>
      </c>
      <c r="BG125" s="6">
        <v>1387035</v>
      </c>
      <c r="BH125" s="51">
        <v>1074690</v>
      </c>
      <c r="BI125" s="51">
        <v>757194</v>
      </c>
      <c r="BJ125" s="51">
        <v>711479</v>
      </c>
      <c r="BK125" s="51">
        <v>612022</v>
      </c>
      <c r="BL125" s="51">
        <v>557411</v>
      </c>
      <c r="BM125" s="51">
        <v>519381</v>
      </c>
    </row>
    <row r="126" spans="1:65" ht="21" customHeight="1">
      <c r="A126" s="5"/>
      <c r="B126" s="47"/>
      <c r="C126" s="5" t="s">
        <v>307</v>
      </c>
      <c r="D126" s="5"/>
      <c r="E126" s="5"/>
      <c r="F126" s="31"/>
      <c r="G126" s="6"/>
      <c r="H126" s="6"/>
      <c r="I126" s="6"/>
      <c r="J126" s="6"/>
      <c r="K126" s="6"/>
      <c r="L126" s="6"/>
      <c r="M126" s="6"/>
      <c r="N126" s="7"/>
      <c r="O126" s="6"/>
      <c r="P126" s="6"/>
      <c r="Q126" s="6"/>
      <c r="R126" s="6"/>
      <c r="S126" s="6"/>
      <c r="T126" s="6"/>
      <c r="U126" s="6"/>
      <c r="V126" s="6"/>
      <c r="W126" s="6"/>
      <c r="X126" s="6"/>
      <c r="Y126" s="6"/>
      <c r="Z126" s="6"/>
      <c r="AA126" s="6"/>
      <c r="AB126" s="6">
        <v>0</v>
      </c>
      <c r="AC126" s="6">
        <v>500000</v>
      </c>
      <c r="AD126" s="6">
        <v>9037384</v>
      </c>
      <c r="AE126" s="6">
        <v>9890175</v>
      </c>
      <c r="AF126" s="6">
        <v>11632253</v>
      </c>
      <c r="AG126" s="6">
        <v>11670258</v>
      </c>
      <c r="AH126" s="6">
        <v>11012935</v>
      </c>
      <c r="AI126" s="6">
        <v>11029158</v>
      </c>
      <c r="AJ126" s="6">
        <v>8291191</v>
      </c>
      <c r="AK126" s="6">
        <v>9199169</v>
      </c>
      <c r="AL126" s="6">
        <v>10231306</v>
      </c>
      <c r="AM126" s="6">
        <v>10225904</v>
      </c>
      <c r="AN126" s="6">
        <v>10185907</v>
      </c>
      <c r="AO126" s="6">
        <v>9927673</v>
      </c>
      <c r="AP126" s="6">
        <v>9504574</v>
      </c>
      <c r="AQ126" s="6">
        <v>8926504</v>
      </c>
      <c r="AR126" s="6">
        <v>8485168</v>
      </c>
      <c r="AS126" s="6">
        <v>8013453</v>
      </c>
      <c r="AT126" s="6">
        <v>7724592</v>
      </c>
      <c r="AU126" s="6">
        <v>7261888</v>
      </c>
      <c r="AV126" s="6">
        <v>6148894</v>
      </c>
      <c r="AW126" s="6">
        <v>4884562</v>
      </c>
      <c r="AX126" s="6">
        <v>3751182</v>
      </c>
      <c r="AY126" s="6">
        <v>3927195</v>
      </c>
      <c r="AZ126" s="6">
        <v>6297338</v>
      </c>
      <c r="BA126" s="6">
        <v>5092844</v>
      </c>
      <c r="BB126" s="6">
        <v>2732836</v>
      </c>
      <c r="BC126" s="7">
        <v>2218941</v>
      </c>
      <c r="BD126" s="6">
        <v>1916784</v>
      </c>
      <c r="BE126" s="6">
        <v>3001279</v>
      </c>
      <c r="BF126" s="6"/>
      <c r="BG126" s="6">
        <v>0</v>
      </c>
      <c r="BH126" s="6"/>
      <c r="BI126" s="6"/>
      <c r="BJ126" s="6"/>
      <c r="BK126" s="6"/>
      <c r="BL126" s="6"/>
      <c r="BM126" s="6"/>
    </row>
    <row r="127" spans="1:65" ht="21" customHeight="1">
      <c r="A127" s="5"/>
      <c r="B127" s="47"/>
      <c r="C127" s="5" t="s">
        <v>308</v>
      </c>
      <c r="D127" s="5"/>
      <c r="E127" s="5"/>
      <c r="F127" s="31"/>
      <c r="G127" s="6"/>
      <c r="H127" s="6"/>
      <c r="I127" s="6"/>
      <c r="J127" s="6"/>
      <c r="K127" s="6"/>
      <c r="L127" s="6"/>
      <c r="M127" s="6"/>
      <c r="N127" s="7"/>
      <c r="O127" s="6"/>
      <c r="P127" s="6"/>
      <c r="Q127" s="6"/>
      <c r="R127" s="6"/>
      <c r="S127" s="6"/>
      <c r="T127" s="6"/>
      <c r="U127" s="6"/>
      <c r="V127" s="6"/>
      <c r="W127" s="6">
        <v>0</v>
      </c>
      <c r="X127" s="6">
        <v>519974</v>
      </c>
      <c r="Y127" s="6">
        <v>400000</v>
      </c>
      <c r="Z127" s="6">
        <v>350000</v>
      </c>
      <c r="AA127" s="6">
        <v>500000</v>
      </c>
      <c r="AB127" s="6">
        <v>0</v>
      </c>
      <c r="AC127" s="6">
        <v>5093000</v>
      </c>
      <c r="AD127" s="6">
        <v>7135493</v>
      </c>
      <c r="AE127" s="6">
        <v>9078112</v>
      </c>
      <c r="AF127" s="6">
        <v>9636116</v>
      </c>
      <c r="AG127" s="6">
        <v>161787</v>
      </c>
      <c r="AH127" s="6">
        <v>1091645</v>
      </c>
      <c r="AI127" s="6">
        <v>1287897</v>
      </c>
      <c r="AJ127" s="6">
        <v>5303055</v>
      </c>
      <c r="AK127" s="6">
        <v>6943040</v>
      </c>
      <c r="AL127" s="6">
        <v>2808513</v>
      </c>
      <c r="AM127" s="6">
        <v>2788013</v>
      </c>
      <c r="AN127" s="6">
        <v>2254511</v>
      </c>
      <c r="AO127" s="6">
        <v>1414511</v>
      </c>
      <c r="AP127" s="6">
        <v>1371499</v>
      </c>
      <c r="AQ127" s="13">
        <v>713560</v>
      </c>
      <c r="AR127" s="5"/>
      <c r="AS127" s="6"/>
      <c r="AT127" s="6"/>
      <c r="AU127" s="6"/>
      <c r="AV127" s="6"/>
      <c r="AW127" s="6"/>
      <c r="AX127" s="6"/>
      <c r="AY127" s="5"/>
      <c r="AZ127" s="6"/>
      <c r="BA127" s="6"/>
      <c r="BB127" s="6"/>
      <c r="BC127" s="7"/>
      <c r="BD127" s="5"/>
      <c r="BE127" s="5"/>
      <c r="BF127" s="5"/>
      <c r="BG127" s="5"/>
      <c r="BH127" s="5"/>
      <c r="BI127" s="5"/>
      <c r="BJ127" s="5"/>
      <c r="BK127" s="5"/>
      <c r="BL127" s="5"/>
      <c r="BM127" s="5"/>
    </row>
    <row r="128" spans="1:65" ht="21" customHeight="1">
      <c r="A128" s="5"/>
      <c r="B128" s="47"/>
      <c r="C128" s="5" t="s">
        <v>309</v>
      </c>
      <c r="D128" s="5"/>
      <c r="E128" s="5"/>
      <c r="F128" s="31"/>
      <c r="G128" s="6"/>
      <c r="H128" s="6"/>
      <c r="I128" s="6"/>
      <c r="J128" s="6"/>
      <c r="K128" s="6"/>
      <c r="L128" s="6"/>
      <c r="M128" s="6"/>
      <c r="N128" s="7"/>
      <c r="O128" s="6"/>
      <c r="P128" s="6"/>
      <c r="Q128" s="6"/>
      <c r="R128" s="6"/>
      <c r="S128" s="6"/>
      <c r="T128" s="6"/>
      <c r="U128" s="6"/>
      <c r="V128" s="6"/>
      <c r="W128" s="6"/>
      <c r="X128" s="6"/>
      <c r="Y128" s="6"/>
      <c r="Z128" s="13"/>
      <c r="AA128" s="6">
        <v>551400</v>
      </c>
      <c r="AB128" s="6">
        <v>846739</v>
      </c>
      <c r="AC128" s="6">
        <v>900391</v>
      </c>
      <c r="AD128" s="6">
        <v>1173291</v>
      </c>
      <c r="AE128" s="6">
        <v>1821276</v>
      </c>
      <c r="AF128" s="6">
        <v>2574148</v>
      </c>
      <c r="AG128" s="6">
        <v>2929982</v>
      </c>
      <c r="AH128" s="6">
        <v>3057198</v>
      </c>
      <c r="AI128" s="6">
        <v>2645028</v>
      </c>
      <c r="AJ128" s="6">
        <v>2932761</v>
      </c>
      <c r="AK128" s="6">
        <v>3138876</v>
      </c>
      <c r="AL128" s="6">
        <v>2995268</v>
      </c>
      <c r="AM128" s="6">
        <v>2974913</v>
      </c>
      <c r="AN128" s="6">
        <v>2429612</v>
      </c>
      <c r="AO128" s="6">
        <v>1992720</v>
      </c>
      <c r="AP128" s="6">
        <v>1638851</v>
      </c>
      <c r="AQ128" s="6">
        <v>874939</v>
      </c>
      <c r="AR128" s="6">
        <v>974348</v>
      </c>
      <c r="AS128" s="6">
        <v>1069757</v>
      </c>
      <c r="AT128" s="6">
        <v>1266328</v>
      </c>
      <c r="AU128" s="6">
        <v>1168166</v>
      </c>
      <c r="AV128" s="6">
        <v>1282280</v>
      </c>
      <c r="AW128" s="6">
        <v>1674186</v>
      </c>
      <c r="AX128" s="6">
        <v>1795164</v>
      </c>
      <c r="AY128" s="6">
        <v>1649555</v>
      </c>
      <c r="AZ128" s="6">
        <v>2682933</v>
      </c>
      <c r="BA128" s="6">
        <v>2898762</v>
      </c>
      <c r="BB128" s="6">
        <v>5062042</v>
      </c>
      <c r="BC128" s="7">
        <v>5955435</v>
      </c>
      <c r="BD128" s="6">
        <v>9284737</v>
      </c>
      <c r="BE128" s="6">
        <f>841086+5216455+6136370+1365761+1469</f>
        <v>13561141</v>
      </c>
      <c r="BF128" s="6">
        <f>11504330+665152+5735134</f>
        <v>17904616</v>
      </c>
      <c r="BG128" s="6">
        <v>19234812</v>
      </c>
      <c r="BH128" s="51">
        <v>9351798</v>
      </c>
      <c r="BI128" s="51">
        <v>3219297</v>
      </c>
      <c r="BJ128" s="51">
        <v>3479318</v>
      </c>
      <c r="BK128" s="51">
        <v>4085020</v>
      </c>
      <c r="BL128" s="51">
        <v>737286</v>
      </c>
      <c r="BM128" s="51">
        <v>179969</v>
      </c>
    </row>
    <row r="129" spans="1:65" ht="21" customHeight="1">
      <c r="A129" s="5"/>
      <c r="B129" s="47"/>
      <c r="C129" s="5" t="s">
        <v>310</v>
      </c>
      <c r="D129" s="5"/>
      <c r="E129" s="5"/>
      <c r="F129" s="31"/>
      <c r="G129" s="6"/>
      <c r="H129" s="6"/>
      <c r="I129" s="6"/>
      <c r="J129" s="6"/>
      <c r="K129" s="6"/>
      <c r="L129" s="6"/>
      <c r="M129" s="6"/>
      <c r="N129" s="7"/>
      <c r="O129" s="6"/>
      <c r="P129" s="6"/>
      <c r="Q129" s="6"/>
      <c r="R129" s="6"/>
      <c r="S129" s="6"/>
      <c r="T129" s="6"/>
      <c r="U129" s="6"/>
      <c r="V129" s="6"/>
      <c r="W129" s="6"/>
      <c r="X129" s="6"/>
      <c r="Y129" s="6"/>
      <c r="Z129" s="6"/>
      <c r="AA129" s="6"/>
      <c r="AB129" s="6"/>
      <c r="AC129" s="6"/>
      <c r="AD129" s="6"/>
      <c r="AE129" s="6"/>
      <c r="AF129" s="6"/>
      <c r="AG129" s="6"/>
      <c r="AH129" s="6"/>
      <c r="AI129" s="6"/>
      <c r="AJ129" s="6">
        <v>0</v>
      </c>
      <c r="AK129" s="6">
        <v>1787157</v>
      </c>
      <c r="AL129" s="6">
        <v>4722157</v>
      </c>
      <c r="AM129" s="6">
        <v>5322157</v>
      </c>
      <c r="AN129" s="6">
        <v>4701941</v>
      </c>
      <c r="AO129" s="6">
        <v>4021941</v>
      </c>
      <c r="AP129" s="6">
        <v>3828928</v>
      </c>
      <c r="AQ129" s="13">
        <v>3986993</v>
      </c>
      <c r="AR129" s="6"/>
      <c r="AS129" s="6"/>
      <c r="AT129" s="6"/>
      <c r="AU129" s="6"/>
      <c r="AV129" s="6"/>
      <c r="AW129" s="6"/>
      <c r="AX129" s="6"/>
      <c r="AY129" s="5"/>
      <c r="AZ129" s="5"/>
      <c r="BA129" s="6"/>
      <c r="BB129" s="6"/>
      <c r="BC129" s="7"/>
      <c r="BD129" s="5"/>
      <c r="BE129" s="5"/>
      <c r="BF129" s="5"/>
      <c r="BG129" s="5"/>
      <c r="BH129" s="5"/>
      <c r="BI129" s="5"/>
      <c r="BJ129" s="5"/>
      <c r="BK129" s="5"/>
      <c r="BL129" s="5"/>
      <c r="BM129" s="5"/>
    </row>
    <row r="130" spans="1:65" ht="21" customHeight="1">
      <c r="A130" s="5"/>
      <c r="B130" s="47"/>
      <c r="C130" s="5" t="s">
        <v>311</v>
      </c>
      <c r="D130" s="5"/>
      <c r="E130" s="5"/>
      <c r="F130" s="31"/>
      <c r="G130" s="6"/>
      <c r="H130" s="6"/>
      <c r="I130" s="6"/>
      <c r="J130" s="6"/>
      <c r="K130" s="6"/>
      <c r="L130" s="6"/>
      <c r="M130" s="6"/>
      <c r="N130" s="7"/>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13">
        <v>4699683</v>
      </c>
      <c r="AS130" s="6">
        <v>4416514</v>
      </c>
      <c r="AT130" s="6">
        <v>4190064</v>
      </c>
      <c r="AU130" s="6">
        <v>3871154</v>
      </c>
      <c r="AV130" s="6">
        <v>3670000</v>
      </c>
      <c r="AW130" s="6">
        <v>4310176</v>
      </c>
      <c r="AX130" s="6">
        <v>4105676</v>
      </c>
      <c r="AY130" s="6">
        <v>3761714</v>
      </c>
      <c r="AZ130" s="6">
        <v>3017497</v>
      </c>
      <c r="BA130" s="6">
        <v>4014217</v>
      </c>
      <c r="BB130" s="6">
        <v>3879150</v>
      </c>
      <c r="BC130" s="7">
        <v>3679545</v>
      </c>
      <c r="BD130" s="6">
        <v>2936986</v>
      </c>
      <c r="BE130" s="6">
        <f>2608180+1654</f>
        <v>2609834</v>
      </c>
      <c r="BF130" s="6">
        <v>2609835</v>
      </c>
      <c r="BG130" s="6">
        <v>2657751</v>
      </c>
      <c r="BH130" s="51">
        <v>1067953</v>
      </c>
      <c r="BI130" s="51">
        <v>877311</v>
      </c>
      <c r="BJ130" s="51">
        <v>995678</v>
      </c>
      <c r="BK130" s="51">
        <v>873313</v>
      </c>
      <c r="BL130" s="51">
        <v>1050000</v>
      </c>
      <c r="BM130" s="6"/>
    </row>
    <row r="131" spans="1:65" ht="21" customHeight="1">
      <c r="A131" s="5"/>
      <c r="B131" s="47"/>
      <c r="C131" s="5" t="s">
        <v>312</v>
      </c>
      <c r="D131" s="5"/>
      <c r="E131" s="5"/>
      <c r="F131" s="31"/>
      <c r="G131" s="6"/>
      <c r="H131" s="6"/>
      <c r="I131" s="6"/>
      <c r="J131" s="6"/>
      <c r="K131" s="6"/>
      <c r="L131" s="6"/>
      <c r="M131" s="6"/>
      <c r="N131" s="7"/>
      <c r="O131" s="6"/>
      <c r="P131" s="6"/>
      <c r="Q131" s="6"/>
      <c r="R131" s="6"/>
      <c r="S131" s="6"/>
      <c r="T131" s="6"/>
      <c r="U131" s="6"/>
      <c r="V131" s="6">
        <v>0</v>
      </c>
      <c r="W131" s="6">
        <v>550000</v>
      </c>
      <c r="X131" s="6">
        <v>1367062</v>
      </c>
      <c r="Y131" s="6">
        <v>1074957</v>
      </c>
      <c r="Z131" s="6">
        <v>521692</v>
      </c>
      <c r="AA131" s="6">
        <v>564166</v>
      </c>
      <c r="AB131" s="6">
        <v>553137</v>
      </c>
      <c r="AC131" s="6">
        <v>433562</v>
      </c>
      <c r="AD131" s="6">
        <v>442652</v>
      </c>
      <c r="AE131" s="6">
        <v>162933</v>
      </c>
      <c r="AF131" s="6">
        <v>168088</v>
      </c>
      <c r="AG131" s="6">
        <v>139184</v>
      </c>
      <c r="AH131" s="6">
        <v>136683</v>
      </c>
      <c r="AI131" s="6">
        <v>164000</v>
      </c>
      <c r="AJ131" s="6">
        <v>138907</v>
      </c>
      <c r="AK131" s="6">
        <v>150793</v>
      </c>
      <c r="AL131" s="6">
        <v>163101</v>
      </c>
      <c r="AM131" s="6">
        <v>169113</v>
      </c>
      <c r="AN131" s="6">
        <v>155456</v>
      </c>
      <c r="AO131" s="6">
        <v>151658</v>
      </c>
      <c r="AP131" s="6">
        <v>146598</v>
      </c>
      <c r="AQ131" s="6">
        <v>139801</v>
      </c>
      <c r="AR131" s="6">
        <v>132373</v>
      </c>
      <c r="AS131" s="6">
        <v>120922</v>
      </c>
      <c r="AT131" s="6">
        <v>152827</v>
      </c>
      <c r="AU131" s="6">
        <v>139395</v>
      </c>
      <c r="AV131" s="6">
        <v>136943</v>
      </c>
      <c r="AW131" s="6">
        <v>139105</v>
      </c>
      <c r="AX131" s="6">
        <v>139224</v>
      </c>
      <c r="AY131" s="6">
        <v>133847</v>
      </c>
      <c r="AZ131" s="6">
        <v>135840</v>
      </c>
      <c r="BA131" s="6">
        <v>135849</v>
      </c>
      <c r="BB131" s="6">
        <v>74564</v>
      </c>
      <c r="BC131" s="7">
        <v>36130</v>
      </c>
      <c r="BD131" s="6">
        <v>25572</v>
      </c>
      <c r="BE131" s="6">
        <f>18376+7202</f>
        <v>25578</v>
      </c>
      <c r="BF131" s="6">
        <v>13127</v>
      </c>
      <c r="BG131" s="6">
        <v>0</v>
      </c>
      <c r="BH131" s="6"/>
      <c r="BI131" s="6"/>
      <c r="BJ131" s="6"/>
      <c r="BK131" s="6"/>
      <c r="BL131" s="6"/>
      <c r="BM131" s="6"/>
    </row>
    <row r="132" spans="1:65" ht="21" customHeight="1">
      <c r="A132" s="5"/>
      <c r="B132" s="47"/>
      <c r="C132" s="5" t="s">
        <v>313</v>
      </c>
      <c r="D132" s="5"/>
      <c r="E132" s="5"/>
      <c r="F132" s="31"/>
      <c r="G132" s="6">
        <v>399508</v>
      </c>
      <c r="H132" s="6">
        <v>356281</v>
      </c>
      <c r="I132" s="6">
        <v>339114</v>
      </c>
      <c r="J132" s="6">
        <v>200623</v>
      </c>
      <c r="K132" s="6">
        <v>296841</v>
      </c>
      <c r="L132" s="6">
        <v>343724</v>
      </c>
      <c r="M132" s="6">
        <v>67172</v>
      </c>
      <c r="N132" s="7">
        <v>104937</v>
      </c>
      <c r="O132" s="6">
        <v>110000</v>
      </c>
      <c r="P132" s="6">
        <v>116687</v>
      </c>
      <c r="Q132" s="6">
        <v>100000</v>
      </c>
      <c r="R132" s="6">
        <v>110000</v>
      </c>
      <c r="S132" s="6">
        <v>350000</v>
      </c>
      <c r="T132" s="6">
        <v>365000</v>
      </c>
      <c r="U132" s="6">
        <v>400000</v>
      </c>
      <c r="V132" s="6">
        <v>902000</v>
      </c>
      <c r="W132" s="6">
        <v>1164000</v>
      </c>
      <c r="X132" s="6">
        <v>2058692</v>
      </c>
      <c r="Y132" s="6">
        <v>2411015</v>
      </c>
      <c r="Z132" s="6">
        <v>2606050</v>
      </c>
      <c r="AA132" s="6">
        <v>2942902</v>
      </c>
      <c r="AB132" s="6">
        <v>3342506</v>
      </c>
      <c r="AC132" s="6">
        <v>2271134</v>
      </c>
      <c r="AD132" s="6">
        <v>3150267</v>
      </c>
      <c r="AE132" s="6">
        <v>3965989</v>
      </c>
      <c r="AF132" s="6">
        <v>4450889</v>
      </c>
      <c r="AG132" s="6">
        <v>5205845</v>
      </c>
      <c r="AH132" s="6">
        <v>5578249</v>
      </c>
      <c r="AI132" s="6">
        <v>5817293</v>
      </c>
      <c r="AJ132" s="6">
        <v>5635922</v>
      </c>
      <c r="AK132" s="6">
        <v>6169077</v>
      </c>
      <c r="AL132" s="6">
        <v>6214392</v>
      </c>
      <c r="AM132" s="6">
        <v>6628757</v>
      </c>
      <c r="AN132" s="6">
        <v>6188811</v>
      </c>
      <c r="AO132" s="6">
        <v>5736117</v>
      </c>
      <c r="AP132" s="6">
        <v>5134446</v>
      </c>
      <c r="AQ132" s="6">
        <v>5290501</v>
      </c>
      <c r="AR132" s="6">
        <v>5586238</v>
      </c>
      <c r="AS132" s="6">
        <v>5556540</v>
      </c>
      <c r="AT132" s="6">
        <v>5577132</v>
      </c>
      <c r="AU132" s="6">
        <v>5305579</v>
      </c>
      <c r="AV132" s="6">
        <v>5427311</v>
      </c>
      <c r="AW132" s="6">
        <v>5563758</v>
      </c>
      <c r="AX132" s="6">
        <v>5604729</v>
      </c>
      <c r="AY132" s="6">
        <v>5451354</v>
      </c>
      <c r="AZ132" s="6">
        <v>5295483</v>
      </c>
      <c r="BA132" s="6">
        <v>5411517</v>
      </c>
      <c r="BB132" s="6">
        <v>5302516</v>
      </c>
      <c r="BC132" s="7">
        <v>5208572</v>
      </c>
      <c r="BD132" s="6">
        <v>5148767</v>
      </c>
      <c r="BE132" s="6">
        <f>5771867+2039+1649</f>
        <v>5775555</v>
      </c>
      <c r="BF132" s="6">
        <f>994842+22652+830238+903961+1521109+1173735</f>
        <v>5446537</v>
      </c>
      <c r="BG132" s="6">
        <v>4803256</v>
      </c>
      <c r="BH132" s="51">
        <v>4367920</v>
      </c>
      <c r="BI132" s="51">
        <v>5408674</v>
      </c>
      <c r="BJ132" s="51">
        <v>4932611</v>
      </c>
      <c r="BK132" s="51">
        <v>4745848</v>
      </c>
      <c r="BL132" s="51">
        <v>4644044</v>
      </c>
      <c r="BM132" s="51">
        <v>6054013</v>
      </c>
    </row>
    <row r="133" spans="1:65" ht="21" customHeight="1">
      <c r="A133" s="5"/>
      <c r="B133" s="47"/>
      <c r="C133" s="5" t="s">
        <v>314</v>
      </c>
      <c r="D133" s="5"/>
      <c r="E133" s="5"/>
      <c r="F133" s="31"/>
      <c r="G133" s="6">
        <v>139843</v>
      </c>
      <c r="H133" s="6">
        <v>153110</v>
      </c>
      <c r="I133" s="6">
        <v>207749</v>
      </c>
      <c r="J133" s="14">
        <v>258145</v>
      </c>
      <c r="K133" s="14">
        <v>313374</v>
      </c>
      <c r="L133" s="14">
        <v>311317</v>
      </c>
      <c r="M133" s="14">
        <v>388541</v>
      </c>
      <c r="N133" s="16">
        <v>412286</v>
      </c>
      <c r="O133" s="6">
        <v>445517</v>
      </c>
      <c r="P133" s="6">
        <v>444977</v>
      </c>
      <c r="Q133" s="6">
        <v>567212</v>
      </c>
      <c r="R133" s="6">
        <v>734811</v>
      </c>
      <c r="S133" s="6">
        <v>853218</v>
      </c>
      <c r="T133" s="6">
        <v>1014553</v>
      </c>
      <c r="U133" s="6">
        <v>1339440</v>
      </c>
      <c r="V133" s="6">
        <v>1670526</v>
      </c>
      <c r="W133" s="6">
        <v>2222325</v>
      </c>
      <c r="X133" s="6">
        <v>2027383</v>
      </c>
      <c r="Y133" s="6">
        <v>2279728</v>
      </c>
      <c r="Z133" s="6">
        <v>2839621</v>
      </c>
      <c r="AA133" s="6">
        <v>3697466</v>
      </c>
      <c r="AB133" s="6">
        <v>4140804</v>
      </c>
      <c r="AC133" s="6">
        <v>5335704</v>
      </c>
      <c r="AD133" s="6">
        <v>6934219</v>
      </c>
      <c r="AE133" s="6">
        <v>8149007</v>
      </c>
      <c r="AF133" s="6">
        <v>11508731</v>
      </c>
      <c r="AG133" s="6">
        <v>12642237</v>
      </c>
      <c r="AH133" s="6">
        <v>14157405</v>
      </c>
      <c r="AI133" s="6">
        <v>15882728</v>
      </c>
      <c r="AJ133" s="6">
        <v>17152758</v>
      </c>
      <c r="AK133" s="6">
        <v>18191643</v>
      </c>
      <c r="AL133" s="6">
        <v>19520911</v>
      </c>
      <c r="AM133" s="6">
        <v>20454695</v>
      </c>
      <c r="AN133" s="6">
        <v>20504666</v>
      </c>
      <c r="AO133" s="6">
        <v>5605170</v>
      </c>
      <c r="AP133" s="6"/>
      <c r="AQ133" s="5"/>
      <c r="AR133" s="5"/>
      <c r="AS133" s="6"/>
      <c r="AT133" s="5"/>
      <c r="AU133" s="6"/>
      <c r="AV133" s="6"/>
      <c r="AW133" s="6"/>
      <c r="AX133" s="5"/>
      <c r="AY133" s="5"/>
      <c r="AZ133" s="5"/>
      <c r="BA133" s="5"/>
      <c r="BB133" s="5"/>
      <c r="BC133" s="31"/>
      <c r="BD133" s="5"/>
      <c r="BE133" s="5"/>
      <c r="BF133" s="5"/>
      <c r="BG133" s="5"/>
      <c r="BH133" s="5"/>
      <c r="BI133" s="5"/>
      <c r="BJ133" s="5"/>
      <c r="BK133" s="5"/>
      <c r="BL133" s="5"/>
      <c r="BM133" s="5"/>
    </row>
    <row r="134" spans="1:65" ht="21" customHeight="1">
      <c r="A134" s="5"/>
      <c r="B134" s="47"/>
      <c r="C134" s="5" t="s">
        <v>315</v>
      </c>
      <c r="D134" s="5"/>
      <c r="E134" s="5"/>
      <c r="F134" s="31"/>
      <c r="G134" s="6"/>
      <c r="H134" s="6"/>
      <c r="I134" s="6"/>
      <c r="J134" s="14"/>
      <c r="K134" s="14"/>
      <c r="L134" s="14">
        <v>210266</v>
      </c>
      <c r="M134" s="14">
        <v>177475</v>
      </c>
      <c r="N134" s="16">
        <v>196274</v>
      </c>
      <c r="O134" s="6"/>
      <c r="P134" s="6"/>
      <c r="Q134" s="13"/>
      <c r="R134" s="6">
        <v>379898</v>
      </c>
      <c r="S134" s="6">
        <v>437083</v>
      </c>
      <c r="T134" s="6">
        <v>493130</v>
      </c>
      <c r="U134" s="6">
        <v>542100</v>
      </c>
      <c r="V134" s="6">
        <v>589470</v>
      </c>
      <c r="W134" s="6">
        <v>652967</v>
      </c>
      <c r="X134" s="6">
        <v>719425</v>
      </c>
      <c r="Y134" s="6">
        <v>824030</v>
      </c>
      <c r="Z134" s="6">
        <v>931704</v>
      </c>
      <c r="AA134" s="6">
        <v>1056187</v>
      </c>
      <c r="AB134" s="6">
        <v>1252040</v>
      </c>
      <c r="AC134" s="6">
        <v>1379003</v>
      </c>
      <c r="AD134" s="6">
        <v>1564920</v>
      </c>
      <c r="AE134" s="6">
        <v>1771125</v>
      </c>
      <c r="AF134" s="6">
        <v>2309594</v>
      </c>
      <c r="AG134" s="6">
        <v>2617335</v>
      </c>
      <c r="AH134" s="6">
        <v>2655367</v>
      </c>
      <c r="AI134" s="6">
        <v>2802262</v>
      </c>
      <c r="AJ134" s="6">
        <v>2902289</v>
      </c>
      <c r="AK134" s="6">
        <v>2970946</v>
      </c>
      <c r="AL134" s="6">
        <v>3073380</v>
      </c>
      <c r="AM134" s="6">
        <v>3163619</v>
      </c>
      <c r="AN134" s="6">
        <v>3117783</v>
      </c>
      <c r="AO134" s="6">
        <v>3173915</v>
      </c>
      <c r="AP134" s="6">
        <v>3333720</v>
      </c>
      <c r="AQ134" s="6">
        <v>3394091</v>
      </c>
      <c r="AR134" s="6">
        <v>3412061</v>
      </c>
      <c r="AS134" s="6">
        <v>3439614</v>
      </c>
      <c r="AT134" s="6">
        <v>3494676</v>
      </c>
      <c r="AU134" s="6">
        <v>3566992</v>
      </c>
      <c r="AV134" s="6">
        <v>3770963</v>
      </c>
      <c r="AW134" s="6">
        <v>3854460</v>
      </c>
      <c r="AX134" s="6">
        <v>3971728</v>
      </c>
      <c r="AY134" s="6">
        <v>3957111</v>
      </c>
      <c r="AZ134" s="6">
        <v>4526466</v>
      </c>
      <c r="BA134" s="6">
        <v>4404276</v>
      </c>
      <c r="BB134" s="6">
        <v>4635434</v>
      </c>
      <c r="BC134" s="7">
        <v>4302657</v>
      </c>
      <c r="BD134" s="6">
        <v>4290898</v>
      </c>
      <c r="BE134" s="6">
        <f>4833517+1093821</f>
        <v>5927338</v>
      </c>
      <c r="BF134" s="6">
        <f>7520453+135576</f>
        <v>7656029</v>
      </c>
      <c r="BG134" s="6">
        <v>7743477</v>
      </c>
      <c r="BH134" s="51">
        <v>7867174</v>
      </c>
      <c r="BI134" s="51">
        <v>7902738</v>
      </c>
      <c r="BJ134" s="51">
        <v>7866338</v>
      </c>
      <c r="BK134" s="51">
        <v>7745643</v>
      </c>
      <c r="BL134" s="51">
        <v>7689842</v>
      </c>
      <c r="BM134" s="51">
        <v>7466437</v>
      </c>
    </row>
    <row r="135" spans="1:65" ht="21" customHeight="1">
      <c r="A135" s="5"/>
      <c r="B135" s="61"/>
      <c r="C135" s="5" t="s">
        <v>316</v>
      </c>
      <c r="D135" s="5"/>
      <c r="E135" s="5"/>
      <c r="F135" s="31"/>
      <c r="G135" s="6"/>
      <c r="H135" s="6"/>
      <c r="I135" s="6"/>
      <c r="J135" s="14"/>
      <c r="K135" s="14"/>
      <c r="L135" s="14"/>
      <c r="M135" s="14"/>
      <c r="N135" s="16"/>
      <c r="O135" s="6"/>
      <c r="P135" s="6"/>
      <c r="Q135" s="6"/>
      <c r="R135" s="6"/>
      <c r="S135" s="6"/>
      <c r="T135" s="6"/>
      <c r="U135" s="6"/>
      <c r="V135" s="6"/>
      <c r="W135" s="6"/>
      <c r="X135" s="6"/>
      <c r="Y135" s="6">
        <v>0</v>
      </c>
      <c r="Z135" s="6">
        <v>133596</v>
      </c>
      <c r="AA135" s="6">
        <v>162255</v>
      </c>
      <c r="AB135" s="6">
        <v>194564</v>
      </c>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7"/>
      <c r="BD135" s="6"/>
      <c r="BE135" s="6"/>
      <c r="BF135" s="6"/>
      <c r="BG135" s="6"/>
      <c r="BH135" s="6"/>
      <c r="BI135" s="6"/>
      <c r="BJ135" s="6"/>
      <c r="BK135" s="6"/>
      <c r="BL135" s="6"/>
      <c r="BM135" s="6"/>
    </row>
    <row r="136" spans="1:65" ht="21" customHeight="1">
      <c r="A136" s="5"/>
      <c r="B136" s="61"/>
      <c r="C136" s="5" t="s">
        <v>317</v>
      </c>
      <c r="D136" s="5"/>
      <c r="E136" s="5"/>
      <c r="F136" s="31"/>
      <c r="G136" s="6"/>
      <c r="H136" s="6"/>
      <c r="I136" s="6"/>
      <c r="J136" s="14"/>
      <c r="K136" s="14"/>
      <c r="L136" s="14"/>
      <c r="M136" s="14"/>
      <c r="N136" s="16"/>
      <c r="O136" s="6"/>
      <c r="P136" s="13"/>
      <c r="Q136" s="6">
        <v>2640588</v>
      </c>
      <c r="R136" s="6">
        <v>3069431</v>
      </c>
      <c r="S136" s="6">
        <v>5786187</v>
      </c>
      <c r="T136" s="6">
        <v>11612713</v>
      </c>
      <c r="U136" s="6">
        <v>11515053</v>
      </c>
      <c r="V136" s="6">
        <v>14151259</v>
      </c>
      <c r="W136" s="6">
        <v>19250210</v>
      </c>
      <c r="X136" s="6">
        <v>4639178</v>
      </c>
      <c r="Y136" s="6">
        <v>0</v>
      </c>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7"/>
      <c r="BD136" s="6"/>
      <c r="BE136" s="6"/>
      <c r="BF136" s="6"/>
      <c r="BG136" s="6"/>
      <c r="BH136" s="6"/>
      <c r="BI136" s="6"/>
      <c r="BJ136" s="6"/>
      <c r="BK136" s="6"/>
      <c r="BL136" s="6"/>
      <c r="BM136" s="6"/>
    </row>
    <row r="137" spans="1:65" ht="21" customHeight="1">
      <c r="A137" s="5"/>
      <c r="B137" s="61"/>
      <c r="C137" s="5" t="s">
        <v>318</v>
      </c>
      <c r="D137" s="5"/>
      <c r="E137" s="5"/>
      <c r="F137" s="31"/>
      <c r="G137" s="6">
        <v>16662</v>
      </c>
      <c r="H137" s="6">
        <v>14740</v>
      </c>
      <c r="I137" s="6">
        <v>18387</v>
      </c>
      <c r="J137" s="14">
        <v>1325</v>
      </c>
      <c r="K137" s="14">
        <v>1697</v>
      </c>
      <c r="L137" s="14">
        <v>2083</v>
      </c>
      <c r="M137" s="14">
        <v>1903</v>
      </c>
      <c r="N137" s="16">
        <v>85602</v>
      </c>
      <c r="O137" s="6">
        <v>73455</v>
      </c>
      <c r="P137" s="6">
        <v>90258</v>
      </c>
      <c r="Q137" s="6">
        <v>171280</v>
      </c>
      <c r="R137" s="6">
        <v>171280</v>
      </c>
      <c r="S137" s="6">
        <v>155591</v>
      </c>
      <c r="T137" s="6">
        <v>169826</v>
      </c>
      <c r="U137" s="6">
        <v>287870</v>
      </c>
      <c r="V137" s="6">
        <v>565476</v>
      </c>
      <c r="W137" s="13"/>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7"/>
      <c r="BD137" s="6"/>
      <c r="BE137" s="6"/>
      <c r="BF137" s="6"/>
      <c r="BG137" s="6"/>
      <c r="BH137" s="6"/>
      <c r="BI137" s="6"/>
      <c r="BJ137" s="6"/>
      <c r="BK137" s="6"/>
      <c r="BL137" s="6"/>
      <c r="BM137" s="6"/>
    </row>
    <row r="138" spans="1:65" ht="21" customHeight="1">
      <c r="A138" s="5"/>
      <c r="B138" s="47"/>
      <c r="C138" s="5" t="s">
        <v>319</v>
      </c>
      <c r="D138" s="5"/>
      <c r="E138" s="5"/>
      <c r="F138" s="31"/>
      <c r="G138" s="6"/>
      <c r="H138" s="6"/>
      <c r="I138" s="6"/>
      <c r="J138" s="14"/>
      <c r="K138" s="14"/>
      <c r="L138" s="14">
        <v>15311</v>
      </c>
      <c r="M138" s="14">
        <v>43090</v>
      </c>
      <c r="N138" s="16">
        <v>8319</v>
      </c>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v>27466</v>
      </c>
      <c r="AY138" s="6">
        <v>70466</v>
      </c>
      <c r="AZ138" s="6">
        <v>70466</v>
      </c>
      <c r="BA138" s="6">
        <v>74111</v>
      </c>
      <c r="BB138" s="6">
        <v>166210</v>
      </c>
      <c r="BC138" s="7">
        <v>92010</v>
      </c>
      <c r="BD138" s="6">
        <v>215565</v>
      </c>
      <c r="BE138" s="6">
        <f>132132</f>
        <v>132132</v>
      </c>
      <c r="BF138" s="6">
        <v>99605</v>
      </c>
      <c r="BG138" s="6">
        <v>170000</v>
      </c>
      <c r="BH138" s="51">
        <v>217127</v>
      </c>
      <c r="BI138" s="51">
        <v>323223</v>
      </c>
      <c r="BJ138" s="51">
        <v>246546</v>
      </c>
      <c r="BK138" s="51">
        <v>79094</v>
      </c>
      <c r="BL138" s="6"/>
      <c r="BM138" s="6"/>
    </row>
    <row r="139" spans="1:65" ht="21" customHeight="1">
      <c r="A139" s="5"/>
      <c r="B139" s="62" t="s">
        <v>320</v>
      </c>
      <c r="C139" s="5" t="s">
        <v>321</v>
      </c>
      <c r="D139" s="5"/>
      <c r="E139" s="5"/>
      <c r="F139" s="31"/>
      <c r="G139" s="6">
        <v>21886</v>
      </c>
      <c r="H139" s="6">
        <v>11679</v>
      </c>
      <c r="I139" s="6"/>
      <c r="J139" s="14"/>
      <c r="K139" s="14"/>
      <c r="L139" s="14"/>
      <c r="M139" s="14"/>
      <c r="N139" s="1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7"/>
      <c r="BD139" s="6"/>
      <c r="BE139" s="6"/>
      <c r="BF139" s="6"/>
      <c r="BG139" s="6"/>
      <c r="BH139" s="51"/>
      <c r="BI139" s="51"/>
      <c r="BJ139" s="51"/>
      <c r="BK139" s="51"/>
      <c r="BL139" s="6"/>
      <c r="BM139" s="6"/>
    </row>
    <row r="140" spans="1:65" ht="21" customHeight="1">
      <c r="A140" s="5"/>
      <c r="B140" s="62" t="s">
        <v>322</v>
      </c>
      <c r="C140" s="5" t="s">
        <v>323</v>
      </c>
      <c r="D140" s="5"/>
      <c r="E140" s="5"/>
      <c r="F140" s="31"/>
      <c r="G140" s="6">
        <v>419959</v>
      </c>
      <c r="H140" s="6">
        <v>30966</v>
      </c>
      <c r="I140" s="6">
        <v>28069</v>
      </c>
      <c r="J140" s="14"/>
      <c r="K140" s="14"/>
      <c r="L140" s="14"/>
      <c r="M140" s="14"/>
      <c r="N140" s="1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7"/>
      <c r="BD140" s="6"/>
      <c r="BE140" s="6"/>
      <c r="BF140" s="6"/>
      <c r="BG140" s="6"/>
      <c r="BH140" s="51"/>
      <c r="BI140" s="51"/>
      <c r="BJ140" s="51"/>
      <c r="BK140" s="51"/>
      <c r="BL140" s="6"/>
      <c r="BM140" s="6"/>
    </row>
    <row r="141" spans="1:65" ht="21" customHeight="1">
      <c r="A141" s="5"/>
      <c r="B141" s="62" t="s">
        <v>324</v>
      </c>
      <c r="C141" s="5" t="s">
        <v>325</v>
      </c>
      <c r="D141" s="5"/>
      <c r="E141" s="5"/>
      <c r="F141" s="31"/>
      <c r="G141" s="6">
        <v>155202</v>
      </c>
      <c r="H141" s="6">
        <v>491017</v>
      </c>
      <c r="I141" s="6">
        <v>770951</v>
      </c>
      <c r="J141" s="14">
        <v>203036</v>
      </c>
      <c r="K141" s="14">
        <v>105001</v>
      </c>
      <c r="L141" s="14">
        <v>94065</v>
      </c>
      <c r="M141" s="14">
        <v>11014</v>
      </c>
      <c r="N141" s="16">
        <v>30000</v>
      </c>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7"/>
      <c r="BD141" s="6"/>
      <c r="BE141" s="6"/>
      <c r="BF141" s="6"/>
      <c r="BG141" s="6"/>
      <c r="BH141" s="51"/>
      <c r="BI141" s="51"/>
      <c r="BJ141" s="51"/>
      <c r="BK141" s="51"/>
      <c r="BL141" s="6"/>
      <c r="BM141" s="6"/>
    </row>
    <row r="142" spans="1:65" ht="21" customHeight="1">
      <c r="A142" s="5"/>
      <c r="B142" s="5"/>
      <c r="C142" s="5"/>
      <c r="D142" s="5"/>
      <c r="E142" s="5"/>
      <c r="F142" s="31"/>
      <c r="G142" s="6"/>
      <c r="H142" s="6"/>
      <c r="I142" s="6"/>
      <c r="J142" s="14"/>
      <c r="K142" s="14"/>
      <c r="L142" s="14"/>
      <c r="M142" s="14"/>
      <c r="N142" s="1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5"/>
      <c r="AN142" s="5"/>
      <c r="AO142" s="5"/>
      <c r="AP142" s="5"/>
      <c r="AQ142" s="5"/>
      <c r="AR142" s="5"/>
      <c r="AS142" s="6"/>
      <c r="AT142" s="63"/>
      <c r="AU142" s="63"/>
      <c r="AV142" s="63"/>
      <c r="AW142" s="6"/>
      <c r="AX142" s="6"/>
      <c r="AY142" s="6"/>
      <c r="AZ142" s="6"/>
      <c r="BA142" s="6"/>
      <c r="BB142" s="6"/>
      <c r="BC142" s="7"/>
      <c r="BD142" s="6"/>
      <c r="BE142" s="6"/>
      <c r="BF142" s="6"/>
      <c r="BG142" s="6"/>
      <c r="BH142" s="6"/>
      <c r="BI142" s="6"/>
      <c r="BJ142" s="6"/>
      <c r="BK142" s="6"/>
      <c r="BL142" s="6"/>
      <c r="BM142" s="6"/>
    </row>
    <row r="143" spans="1:65" ht="21" customHeight="1">
      <c r="A143" s="64" t="s">
        <v>326</v>
      </c>
      <c r="B143" s="64"/>
      <c r="C143" s="64"/>
      <c r="D143" s="64"/>
      <c r="E143" s="64"/>
      <c r="F143" s="31"/>
      <c r="G143" s="65">
        <v>4344049</v>
      </c>
      <c r="H143" s="65">
        <v>11496687</v>
      </c>
      <c r="I143" s="65">
        <v>6598874</v>
      </c>
      <c r="J143" s="65">
        <v>5818302</v>
      </c>
      <c r="K143" s="65">
        <v>6683183</v>
      </c>
      <c r="L143" s="65">
        <v>7571487</v>
      </c>
      <c r="M143" s="65">
        <v>8363077</v>
      </c>
      <c r="N143" s="66">
        <v>10127155</v>
      </c>
      <c r="O143" s="65">
        <v>10837379</v>
      </c>
      <c r="P143" s="65">
        <f aca="true" t="shared" si="13" ref="P143:BC143">SUM(P7,P26,P30,P52,P82,P91)</f>
        <v>12977347</v>
      </c>
      <c r="Q143" s="65">
        <f t="shared" si="13"/>
        <v>17564071</v>
      </c>
      <c r="R143" s="65">
        <f t="shared" si="13"/>
        <v>23424854</v>
      </c>
      <c r="S143" s="65">
        <f t="shared" si="13"/>
        <v>31819825</v>
      </c>
      <c r="T143" s="65">
        <f t="shared" si="13"/>
        <v>43067594</v>
      </c>
      <c r="U143" s="65">
        <f t="shared" si="13"/>
        <v>51389684</v>
      </c>
      <c r="V143" s="65">
        <f t="shared" si="13"/>
        <v>61620436</v>
      </c>
      <c r="W143" s="65">
        <f t="shared" si="13"/>
        <v>80251018</v>
      </c>
      <c r="X143" s="65">
        <f t="shared" si="13"/>
        <v>74787891</v>
      </c>
      <c r="Y143" s="65">
        <f t="shared" si="13"/>
        <v>86865394</v>
      </c>
      <c r="Z143" s="65">
        <f t="shared" si="13"/>
        <v>91613791</v>
      </c>
      <c r="AA143" s="65">
        <f t="shared" si="13"/>
        <v>97260112</v>
      </c>
      <c r="AB143" s="65">
        <f t="shared" si="13"/>
        <v>113675264</v>
      </c>
      <c r="AC143" s="65">
        <f t="shared" si="13"/>
        <v>163257194</v>
      </c>
      <c r="AD143" s="65">
        <f t="shared" si="13"/>
        <v>210212127</v>
      </c>
      <c r="AE143" s="65">
        <f t="shared" si="13"/>
        <v>255214492</v>
      </c>
      <c r="AF143" s="65">
        <f t="shared" si="13"/>
        <v>289291605</v>
      </c>
      <c r="AG143" s="65">
        <f t="shared" si="13"/>
        <v>304532624</v>
      </c>
      <c r="AH143" s="65">
        <f t="shared" si="13"/>
        <v>317498791</v>
      </c>
      <c r="AI143" s="65">
        <f t="shared" si="13"/>
        <v>474096120</v>
      </c>
      <c r="AJ143" s="65">
        <f t="shared" si="13"/>
        <v>541241810</v>
      </c>
      <c r="AK143" s="65">
        <f t="shared" si="13"/>
        <v>646941560</v>
      </c>
      <c r="AL143" s="65">
        <f t="shared" si="13"/>
        <v>719338436</v>
      </c>
      <c r="AM143" s="65">
        <f t="shared" si="13"/>
        <v>791169556</v>
      </c>
      <c r="AN143" s="65">
        <f t="shared" si="13"/>
        <v>820366029</v>
      </c>
      <c r="AO143" s="65">
        <f t="shared" si="13"/>
        <v>801502614</v>
      </c>
      <c r="AP143" s="65">
        <f t="shared" si="13"/>
        <v>794173818</v>
      </c>
      <c r="AQ143" s="65">
        <f t="shared" si="13"/>
        <v>782198090</v>
      </c>
      <c r="AR143" s="65">
        <f t="shared" si="13"/>
        <v>650612916</v>
      </c>
      <c r="AS143" s="65">
        <f t="shared" si="13"/>
        <v>620186224</v>
      </c>
      <c r="AT143" s="65">
        <f t="shared" si="13"/>
        <v>695284329</v>
      </c>
      <c r="AU143" s="65">
        <f t="shared" si="13"/>
        <v>726341901</v>
      </c>
      <c r="AV143" s="65">
        <f t="shared" si="13"/>
        <v>786135327</v>
      </c>
      <c r="AW143" s="65">
        <f t="shared" si="13"/>
        <v>850817492</v>
      </c>
      <c r="AX143" s="65">
        <f>SUM(AX7,AX26,AX30,AX52,AX82,AX91)</f>
        <v>880976636</v>
      </c>
      <c r="AY143" s="65">
        <f t="shared" si="13"/>
        <v>898637025</v>
      </c>
      <c r="AZ143" s="65">
        <f t="shared" si="13"/>
        <v>902796567</v>
      </c>
      <c r="BA143" s="65">
        <f t="shared" si="13"/>
        <v>921259984</v>
      </c>
      <c r="BB143" s="65">
        <f t="shared" si="13"/>
        <v>924954673</v>
      </c>
      <c r="BC143" s="66">
        <f t="shared" si="13"/>
        <v>913150689</v>
      </c>
      <c r="BD143" s="65">
        <f>SUM(BD7,BD26,BD30,BD52,BD82,BD91)</f>
        <v>917200017</v>
      </c>
      <c r="BE143" s="65">
        <f>SUM(BE7,BE26,BE30,BE52,BE82,BE91)</f>
        <v>923657445</v>
      </c>
      <c r="BF143" s="65">
        <f>SUM(BF7,BF26,BF30,BF52,BF82,BF91)</f>
        <v>930543242</v>
      </c>
      <c r="BG143" s="65">
        <f aca="true" t="shared" si="14" ref="BG143:BM143">SUM(BG7,BG26,BG30,BG52,BG82,BG91)</f>
        <v>909169763</v>
      </c>
      <c r="BH143" s="65">
        <f>SUM(BH7,BH26,BH30,BH52,BH82,BH91)</f>
        <v>889177733</v>
      </c>
      <c r="BI143" s="65">
        <f t="shared" si="14"/>
        <v>865210642</v>
      </c>
      <c r="BJ143" s="65">
        <f t="shared" si="14"/>
        <v>817518855</v>
      </c>
      <c r="BK143" s="65">
        <f t="shared" si="14"/>
        <v>782818458</v>
      </c>
      <c r="BL143" s="65">
        <f t="shared" si="14"/>
        <v>1027271073</v>
      </c>
      <c r="BM143" s="65">
        <f t="shared" si="14"/>
        <v>1025831994</v>
      </c>
    </row>
    <row r="144" spans="1:65" ht="21" customHeight="1">
      <c r="A144" s="5"/>
      <c r="B144" s="5" t="s">
        <v>327</v>
      </c>
      <c r="C144" s="5"/>
      <c r="D144" s="5"/>
      <c r="E144" s="5"/>
      <c r="F144" s="31"/>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f aca="true" t="shared" si="15" ref="AI144:BM144">AI143-AI145</f>
        <v>344596120</v>
      </c>
      <c r="AJ144" s="6">
        <f t="shared" si="15"/>
        <v>390341810</v>
      </c>
      <c r="AK144" s="6">
        <f t="shared" si="15"/>
        <v>394941560</v>
      </c>
      <c r="AL144" s="6">
        <f t="shared" si="15"/>
        <v>401338436</v>
      </c>
      <c r="AM144" s="6">
        <f t="shared" si="15"/>
        <v>406169556</v>
      </c>
      <c r="AN144" s="6">
        <f t="shared" si="15"/>
        <v>395366029</v>
      </c>
      <c r="AO144" s="6">
        <f t="shared" si="15"/>
        <v>361502614</v>
      </c>
      <c r="AP144" s="6">
        <f t="shared" si="15"/>
        <v>339173818</v>
      </c>
      <c r="AQ144" s="6">
        <f t="shared" si="15"/>
        <v>327198090</v>
      </c>
      <c r="AR144" s="6">
        <f t="shared" si="15"/>
        <v>325612916</v>
      </c>
      <c r="AS144" s="6">
        <f t="shared" si="15"/>
        <v>324186224</v>
      </c>
      <c r="AT144" s="63">
        <f t="shared" si="15"/>
        <v>329284329</v>
      </c>
      <c r="AU144" s="6">
        <f t="shared" si="15"/>
        <v>338341901</v>
      </c>
      <c r="AV144" s="63">
        <f t="shared" si="15"/>
        <v>354135327</v>
      </c>
      <c r="AW144" s="6">
        <f t="shared" si="15"/>
        <v>378817492</v>
      </c>
      <c r="AX144" s="6">
        <f>AX143-AX145</f>
        <v>386976636</v>
      </c>
      <c r="AY144" s="6">
        <f t="shared" si="15"/>
        <v>387637025</v>
      </c>
      <c r="AZ144" s="6">
        <f t="shared" si="15"/>
        <v>387796567</v>
      </c>
      <c r="BA144" s="6">
        <f t="shared" si="15"/>
        <v>397259984</v>
      </c>
      <c r="BB144" s="6">
        <f t="shared" si="15"/>
        <v>410954673</v>
      </c>
      <c r="BC144" s="7">
        <f t="shared" si="15"/>
        <v>413150689</v>
      </c>
      <c r="BD144" s="6">
        <f t="shared" si="15"/>
        <v>429200017</v>
      </c>
      <c r="BE144" s="6">
        <f t="shared" si="15"/>
        <v>448657445</v>
      </c>
      <c r="BF144" s="6">
        <f t="shared" si="15"/>
        <v>468543242</v>
      </c>
      <c r="BG144" s="6">
        <f t="shared" si="15"/>
        <v>463544413</v>
      </c>
      <c r="BH144" s="6">
        <f t="shared" si="15"/>
        <v>454177733</v>
      </c>
      <c r="BI144" s="6">
        <f t="shared" si="15"/>
        <v>481210642</v>
      </c>
      <c r="BJ144" s="6">
        <f t="shared" si="15"/>
        <v>446518855</v>
      </c>
      <c r="BK144" s="6">
        <f t="shared" si="15"/>
        <v>426818458</v>
      </c>
      <c r="BL144" s="6">
        <f t="shared" si="15"/>
        <v>605571073</v>
      </c>
      <c r="BM144" s="6">
        <f t="shared" si="15"/>
        <v>598331994</v>
      </c>
    </row>
    <row r="145" spans="1:65" ht="21" customHeight="1">
      <c r="A145" s="5"/>
      <c r="B145" s="5" t="s">
        <v>328</v>
      </c>
      <c r="C145" s="5"/>
      <c r="D145" s="5"/>
      <c r="E145" s="5"/>
      <c r="F145" s="31"/>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f aca="true" t="shared" si="16" ref="AI145:BM145">AI86</f>
        <v>129500000</v>
      </c>
      <c r="AJ145" s="6">
        <f t="shared" si="16"/>
        <v>150900000</v>
      </c>
      <c r="AK145" s="6">
        <f t="shared" si="16"/>
        <v>252000000</v>
      </c>
      <c r="AL145" s="6">
        <f t="shared" si="16"/>
        <v>318000000</v>
      </c>
      <c r="AM145" s="6">
        <f t="shared" si="16"/>
        <v>385000000</v>
      </c>
      <c r="AN145" s="6">
        <f t="shared" si="16"/>
        <v>425000000</v>
      </c>
      <c r="AO145" s="6">
        <f t="shared" si="16"/>
        <v>440000000</v>
      </c>
      <c r="AP145" s="6">
        <f t="shared" si="16"/>
        <v>455000000</v>
      </c>
      <c r="AQ145" s="6">
        <f t="shared" si="16"/>
        <v>455000000</v>
      </c>
      <c r="AR145" s="6">
        <f t="shared" si="16"/>
        <v>325000000</v>
      </c>
      <c r="AS145" s="6">
        <f t="shared" si="16"/>
        <v>296000000</v>
      </c>
      <c r="AT145" s="6">
        <f t="shared" si="16"/>
        <v>366000000</v>
      </c>
      <c r="AU145" s="6">
        <f t="shared" si="16"/>
        <v>388000000</v>
      </c>
      <c r="AV145" s="6">
        <f t="shared" si="16"/>
        <v>432000000</v>
      </c>
      <c r="AW145" s="6">
        <f t="shared" si="16"/>
        <v>472000000</v>
      </c>
      <c r="AX145" s="6">
        <f t="shared" si="16"/>
        <v>494000000</v>
      </c>
      <c r="AY145" s="6">
        <f t="shared" si="16"/>
        <v>511000000</v>
      </c>
      <c r="AZ145" s="6">
        <f t="shared" si="16"/>
        <v>515000000</v>
      </c>
      <c r="BA145" s="6">
        <f>BA86</f>
        <v>524000000</v>
      </c>
      <c r="BB145" s="6">
        <f t="shared" si="16"/>
        <v>514000000</v>
      </c>
      <c r="BC145" s="7">
        <f t="shared" si="16"/>
        <v>500000000</v>
      </c>
      <c r="BD145" s="6">
        <f t="shared" si="16"/>
        <v>488000000</v>
      </c>
      <c r="BE145" s="6">
        <f t="shared" si="16"/>
        <v>475000000</v>
      </c>
      <c r="BF145" s="6">
        <f t="shared" si="16"/>
        <v>462000000</v>
      </c>
      <c r="BG145" s="6">
        <f t="shared" si="16"/>
        <v>445625350</v>
      </c>
      <c r="BH145" s="6">
        <f t="shared" si="16"/>
        <v>435000000</v>
      </c>
      <c r="BI145" s="6">
        <f t="shared" si="16"/>
        <v>384000000</v>
      </c>
      <c r="BJ145" s="6">
        <f t="shared" si="16"/>
        <v>371000000</v>
      </c>
      <c r="BK145" s="6">
        <f t="shared" si="16"/>
        <v>356000000</v>
      </c>
      <c r="BL145" s="6">
        <f t="shared" si="16"/>
        <v>421700000</v>
      </c>
      <c r="BM145" s="6">
        <f t="shared" si="16"/>
        <v>427500000</v>
      </c>
    </row>
    <row r="146" spans="1:65" ht="21" customHeight="1">
      <c r="A146" s="59" t="s">
        <v>329</v>
      </c>
      <c r="B146" s="59"/>
      <c r="C146" s="59"/>
      <c r="D146" s="59"/>
      <c r="E146" s="59"/>
      <c r="F146" s="59"/>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v>210212</v>
      </c>
      <c r="AE146" s="67">
        <v>255214</v>
      </c>
      <c r="AF146" s="67">
        <v>289292</v>
      </c>
      <c r="AG146" s="67">
        <v>304533</v>
      </c>
      <c r="AH146" s="67">
        <v>317499</v>
      </c>
      <c r="AI146" s="67">
        <v>474096</v>
      </c>
      <c r="AJ146" s="67">
        <v>541242</v>
      </c>
      <c r="AK146" s="67">
        <v>646942</v>
      </c>
      <c r="AL146" s="67">
        <v>719338</v>
      </c>
      <c r="AM146" s="67">
        <v>791170</v>
      </c>
      <c r="AN146" s="67">
        <v>820366</v>
      </c>
      <c r="AO146" s="67">
        <v>801503</v>
      </c>
      <c r="AP146" s="67">
        <v>794174</v>
      </c>
      <c r="AQ146" s="67">
        <v>782198</v>
      </c>
      <c r="AR146" s="67">
        <v>650613</v>
      </c>
      <c r="AS146" s="67">
        <v>620186</v>
      </c>
      <c r="AT146" s="67">
        <v>695284</v>
      </c>
      <c r="AU146" s="67">
        <v>726342</v>
      </c>
      <c r="AV146" s="67">
        <v>786135</v>
      </c>
      <c r="AW146" s="67">
        <v>850800</v>
      </c>
      <c r="AX146" s="67">
        <v>881000</v>
      </c>
      <c r="AY146" s="67">
        <v>898600</v>
      </c>
      <c r="AZ146" s="67">
        <v>900300</v>
      </c>
      <c r="BA146" s="67">
        <v>918800</v>
      </c>
      <c r="BB146" s="67">
        <v>925000</v>
      </c>
      <c r="BC146" s="67">
        <v>913200</v>
      </c>
      <c r="BD146" s="67">
        <v>917200</v>
      </c>
      <c r="BE146" s="67">
        <v>923657445</v>
      </c>
      <c r="BF146" s="67">
        <v>930543242</v>
      </c>
      <c r="BG146" s="67">
        <v>909169763</v>
      </c>
      <c r="BH146" s="67"/>
      <c r="BI146" s="67"/>
      <c r="BJ146" s="67"/>
      <c r="BK146" s="67"/>
      <c r="BL146" s="67"/>
      <c r="BM146" s="67"/>
    </row>
    <row r="147" spans="1:65" ht="21" customHeight="1">
      <c r="A147" s="52"/>
      <c r="B147" s="52"/>
      <c r="C147" s="52"/>
      <c r="D147" s="52"/>
      <c r="E147" s="52"/>
      <c r="F147" s="52"/>
      <c r="G147" s="11"/>
      <c r="H147" s="11"/>
      <c r="I147" s="11"/>
      <c r="J147" s="11"/>
      <c r="K147" s="11"/>
      <c r="L147" s="11"/>
      <c r="M147" s="11"/>
      <c r="N147" s="11"/>
      <c r="O147" s="11"/>
      <c r="P147" s="11">
        <v>12977347</v>
      </c>
      <c r="Q147" s="11">
        <v>17564071</v>
      </c>
      <c r="R147" s="11">
        <v>23424854</v>
      </c>
      <c r="S147" s="11">
        <v>31819825</v>
      </c>
      <c r="T147" s="11">
        <v>43067594</v>
      </c>
      <c r="U147" s="11">
        <v>51389684</v>
      </c>
      <c r="V147" s="11">
        <v>61620436</v>
      </c>
      <c r="W147" s="11">
        <v>80251018</v>
      </c>
      <c r="X147" s="11">
        <v>74787891</v>
      </c>
      <c r="Y147" s="11">
        <v>86865394</v>
      </c>
      <c r="Z147" s="11">
        <v>91613791</v>
      </c>
      <c r="AA147" s="11">
        <v>97260112</v>
      </c>
      <c r="AB147" s="11">
        <v>113675264</v>
      </c>
      <c r="AC147" s="11">
        <v>163257194</v>
      </c>
      <c r="AD147" s="11">
        <v>210212127</v>
      </c>
      <c r="AE147" s="11">
        <v>255214492</v>
      </c>
      <c r="AF147" s="11">
        <v>289291605</v>
      </c>
      <c r="AG147" s="11">
        <v>304532624</v>
      </c>
      <c r="AH147" s="11">
        <v>317498791</v>
      </c>
      <c r="AI147" s="11">
        <v>474096120</v>
      </c>
      <c r="AJ147" s="11">
        <v>541241810</v>
      </c>
      <c r="AK147" s="11">
        <v>646941560</v>
      </c>
      <c r="AL147" s="11">
        <v>719338436</v>
      </c>
      <c r="AM147" s="52">
        <v>791169556</v>
      </c>
      <c r="AN147" s="52">
        <v>820366029</v>
      </c>
      <c r="AO147" s="52">
        <v>801502614</v>
      </c>
      <c r="AP147" s="52">
        <v>794173818</v>
      </c>
      <c r="AQ147" s="52">
        <v>782198090</v>
      </c>
      <c r="AR147" s="52">
        <v>650612916</v>
      </c>
      <c r="AS147" s="11">
        <v>620186224</v>
      </c>
      <c r="AT147" s="68">
        <v>695284329</v>
      </c>
      <c r="AU147" s="69">
        <v>726341901</v>
      </c>
      <c r="AV147" s="69">
        <v>786135327</v>
      </c>
      <c r="AW147" s="69">
        <v>850817492</v>
      </c>
      <c r="AX147" s="69">
        <v>880976636</v>
      </c>
      <c r="AY147" s="69">
        <v>898637025</v>
      </c>
      <c r="AZ147" s="69">
        <v>902796567</v>
      </c>
      <c r="BA147" s="69">
        <v>921259984</v>
      </c>
      <c r="BB147" s="69">
        <v>924954673</v>
      </c>
      <c r="BC147" s="69">
        <v>913150689</v>
      </c>
      <c r="BD147" s="69">
        <v>917200017</v>
      </c>
      <c r="BE147" s="69">
        <f>602669127+320988318</f>
        <v>923657445</v>
      </c>
      <c r="BF147" s="69">
        <v>930543242</v>
      </c>
      <c r="BG147" s="69">
        <v>909169763</v>
      </c>
      <c r="BH147" s="69">
        <v>889177733</v>
      </c>
      <c r="BI147" s="69">
        <v>865210642</v>
      </c>
      <c r="BJ147" s="69">
        <v>817518855</v>
      </c>
      <c r="BK147" s="69">
        <v>782818458</v>
      </c>
      <c r="BL147" s="69">
        <v>1027271073</v>
      </c>
      <c r="BM147" s="69">
        <v>1025831994</v>
      </c>
    </row>
    <row r="148" spans="7:65" s="70" customFormat="1" ht="21" customHeight="1" thickBot="1">
      <c r="G148" s="71"/>
      <c r="H148" s="71"/>
      <c r="I148" s="71"/>
      <c r="J148" s="71"/>
      <c r="K148" s="71"/>
      <c r="L148" s="71"/>
      <c r="M148" s="71"/>
      <c r="N148" s="71"/>
      <c r="O148" s="71"/>
      <c r="P148" s="72">
        <f aca="true" t="shared" si="17" ref="P148:AS148">P7+P30+P52+P82+P91</f>
        <v>12090847</v>
      </c>
      <c r="Q148" s="72">
        <f t="shared" si="17"/>
        <v>16293004</v>
      </c>
      <c r="R148" s="72">
        <f t="shared" si="17"/>
        <v>20931129</v>
      </c>
      <c r="S148" s="72">
        <f t="shared" si="17"/>
        <v>28100174</v>
      </c>
      <c r="T148" s="72">
        <f t="shared" si="17"/>
        <v>37711343</v>
      </c>
      <c r="U148" s="72">
        <f t="shared" si="17"/>
        <v>44367054</v>
      </c>
      <c r="V148" s="72">
        <f t="shared" si="17"/>
        <v>53352064</v>
      </c>
      <c r="W148" s="72">
        <f t="shared" si="17"/>
        <v>71246498</v>
      </c>
      <c r="X148" s="72">
        <f t="shared" si="17"/>
        <v>68602291</v>
      </c>
      <c r="Y148" s="72">
        <f t="shared" si="17"/>
        <v>80576293</v>
      </c>
      <c r="Z148" s="72">
        <f t="shared" si="17"/>
        <v>84977791</v>
      </c>
      <c r="AA148" s="72">
        <f t="shared" si="17"/>
        <v>87959112</v>
      </c>
      <c r="AB148" s="72">
        <f t="shared" si="17"/>
        <v>101090264</v>
      </c>
      <c r="AC148" s="72">
        <f t="shared" si="17"/>
        <v>147404194</v>
      </c>
      <c r="AD148" s="72">
        <f t="shared" si="17"/>
        <v>192297127</v>
      </c>
      <c r="AE148" s="72">
        <f t="shared" si="17"/>
        <v>238757492</v>
      </c>
      <c r="AF148" s="72">
        <f t="shared" si="17"/>
        <v>273712605</v>
      </c>
      <c r="AG148" s="72">
        <f t="shared" si="17"/>
        <v>286295336</v>
      </c>
      <c r="AH148" s="72">
        <f t="shared" si="17"/>
        <v>297486525</v>
      </c>
      <c r="AI148" s="72">
        <f t="shared" si="17"/>
        <v>456959221</v>
      </c>
      <c r="AJ148" s="72">
        <f t="shared" si="17"/>
        <v>524495535</v>
      </c>
      <c r="AK148" s="72">
        <f t="shared" si="17"/>
        <v>631682111</v>
      </c>
      <c r="AL148" s="72">
        <f t="shared" si="17"/>
        <v>706153349</v>
      </c>
      <c r="AM148" s="72">
        <f t="shared" si="17"/>
        <v>778210184</v>
      </c>
      <c r="AN148" s="72">
        <f t="shared" si="17"/>
        <v>808422843</v>
      </c>
      <c r="AO148" s="72">
        <f t="shared" si="17"/>
        <v>791096063</v>
      </c>
      <c r="AP148" s="72">
        <f t="shared" si="17"/>
        <v>784726566</v>
      </c>
      <c r="AQ148" s="72">
        <f t="shared" si="17"/>
        <v>772143817</v>
      </c>
      <c r="AR148" s="72">
        <f t="shared" si="17"/>
        <v>640471821</v>
      </c>
      <c r="AS148" s="72">
        <f t="shared" si="17"/>
        <v>610653224</v>
      </c>
      <c r="AT148" s="72">
        <f>AT7+AT30+AT52+AT82+AT91</f>
        <v>685373709</v>
      </c>
      <c r="AU148" s="72">
        <f>AU7+AU30+AU52+AU82+AU91</f>
        <v>715880507</v>
      </c>
      <c r="AV148" s="72">
        <v>774474136</v>
      </c>
      <c r="AW148" s="71">
        <v>835369431</v>
      </c>
      <c r="AX148" s="71">
        <v>864941034</v>
      </c>
      <c r="AY148" s="71">
        <v>879333134</v>
      </c>
      <c r="AZ148" s="71">
        <v>890532993</v>
      </c>
      <c r="BA148" s="71">
        <v>908537799</v>
      </c>
      <c r="BB148" s="71">
        <v>913135548</v>
      </c>
      <c r="BC148" s="71">
        <v>902662642</v>
      </c>
      <c r="BD148" s="71">
        <v>906812017</v>
      </c>
      <c r="BE148" s="71">
        <v>912406676</v>
      </c>
      <c r="BF148" s="71">
        <v>921221242</v>
      </c>
      <c r="BG148" s="71">
        <v>904431865</v>
      </c>
      <c r="BH148" s="71">
        <v>884042733</v>
      </c>
      <c r="BI148" s="71">
        <v>833080870</v>
      </c>
      <c r="BJ148" s="71">
        <v>811771461</v>
      </c>
      <c r="BK148" s="71">
        <v>779712458</v>
      </c>
      <c r="BL148" s="71">
        <v>1024229073</v>
      </c>
      <c r="BM148" s="71">
        <v>1023096994</v>
      </c>
    </row>
    <row r="149" spans="7:65" s="52" customFormat="1" ht="21" customHeight="1" thickBot="1">
      <c r="G149" s="11"/>
      <c r="H149" s="11"/>
      <c r="I149" s="11"/>
      <c r="J149" s="11"/>
      <c r="K149" s="11"/>
      <c r="L149" s="11"/>
      <c r="M149" s="11"/>
      <c r="N149" s="11"/>
      <c r="O149" s="11">
        <f>O123-O93</f>
        <v>-2392868</v>
      </c>
      <c r="P149" s="11">
        <f aca="true" t="shared" si="18" ref="P149:AC149">P123-P93</f>
        <v>-2605766</v>
      </c>
      <c r="Q149" s="11">
        <f t="shared" si="18"/>
        <v>-2812632</v>
      </c>
      <c r="R149" s="11">
        <f t="shared" si="18"/>
        <v>-3729940</v>
      </c>
      <c r="S149" s="11">
        <f t="shared" si="18"/>
        <v>-4038608</v>
      </c>
      <c r="T149" s="11">
        <f t="shared" si="18"/>
        <v>-3996780</v>
      </c>
      <c r="U149" s="11">
        <f t="shared" si="18"/>
        <v>-4860331</v>
      </c>
      <c r="V149" s="11">
        <f t="shared" si="18"/>
        <v>-5561070</v>
      </c>
      <c r="W149" s="11">
        <f t="shared" si="18"/>
        <v>-6025089</v>
      </c>
      <c r="X149" s="11">
        <f t="shared" si="18"/>
        <v>-6764109</v>
      </c>
      <c r="Y149" s="11">
        <f t="shared" si="18"/>
        <v>-6943585</v>
      </c>
      <c r="Z149" s="11">
        <f t="shared" si="18"/>
        <v>-8590252</v>
      </c>
      <c r="AA149" s="11">
        <f t="shared" si="18"/>
        <v>-10000145</v>
      </c>
      <c r="AB149" s="11">
        <f t="shared" si="18"/>
        <v>-11935977</v>
      </c>
      <c r="AC149" s="11">
        <f t="shared" si="18"/>
        <v>-13436114</v>
      </c>
      <c r="AD149" s="73"/>
      <c r="AE149" s="73"/>
      <c r="AF149" s="73"/>
      <c r="AG149" s="73"/>
      <c r="AH149" s="73"/>
      <c r="AI149" s="73"/>
      <c r="AJ149" s="73"/>
      <c r="AK149" s="73"/>
      <c r="AL149" s="73"/>
      <c r="AM149" s="73"/>
      <c r="AN149" s="73"/>
      <c r="AO149" s="73"/>
      <c r="AP149" s="73"/>
      <c r="AQ149" s="73"/>
      <c r="AR149" s="73"/>
      <c r="AS149" s="73"/>
      <c r="AT149" s="73"/>
      <c r="AU149" s="73"/>
      <c r="AV149" s="73"/>
      <c r="AW149" s="11"/>
      <c r="AX149" s="11"/>
      <c r="AY149" s="11"/>
      <c r="AZ149" s="11"/>
      <c r="BA149" s="11"/>
      <c r="BB149" s="11"/>
      <c r="BC149" s="11"/>
      <c r="BD149" s="11"/>
      <c r="BE149" s="11"/>
      <c r="BF149" s="11"/>
      <c r="BG149" s="11"/>
      <c r="BH149" s="11"/>
      <c r="BI149" s="11"/>
      <c r="BJ149" s="11"/>
      <c r="BK149" s="11"/>
      <c r="BL149" s="11"/>
      <c r="BM149" s="11"/>
    </row>
    <row r="150" spans="1:65" s="75" customFormat="1" ht="21" customHeight="1">
      <c r="A150" s="74" t="s">
        <v>139</v>
      </c>
      <c r="P150" s="75" t="s">
        <v>149</v>
      </c>
      <c r="Q150" s="75" t="s">
        <v>150</v>
      </c>
      <c r="R150" s="75" t="s">
        <v>151</v>
      </c>
      <c r="S150" s="75" t="s">
        <v>152</v>
      </c>
      <c r="T150" s="75" t="s">
        <v>153</v>
      </c>
      <c r="U150" s="75" t="s">
        <v>154</v>
      </c>
      <c r="V150" s="75" t="s">
        <v>155</v>
      </c>
      <c r="W150" s="75" t="s">
        <v>156</v>
      </c>
      <c r="X150" s="75" t="s">
        <v>157</v>
      </c>
      <c r="Y150" s="75" t="s">
        <v>158</v>
      </c>
      <c r="Z150" s="75" t="s">
        <v>159</v>
      </c>
      <c r="AA150" s="75" t="s">
        <v>160</v>
      </c>
      <c r="AB150" s="75" t="s">
        <v>161</v>
      </c>
      <c r="AC150" s="75" t="s">
        <v>162</v>
      </c>
      <c r="AD150" s="76" t="s">
        <v>163</v>
      </c>
      <c r="AE150" s="75" t="s">
        <v>164</v>
      </c>
      <c r="AF150" s="75" t="s">
        <v>165</v>
      </c>
      <c r="AG150" s="75" t="s">
        <v>166</v>
      </c>
      <c r="AH150" s="75" t="s">
        <v>167</v>
      </c>
      <c r="AI150" s="75" t="s">
        <v>168</v>
      </c>
      <c r="AJ150" s="75" t="s">
        <v>169</v>
      </c>
      <c r="AK150" s="75" t="s">
        <v>170</v>
      </c>
      <c r="AL150" s="75" t="s">
        <v>171</v>
      </c>
      <c r="AM150" s="75" t="s">
        <v>172</v>
      </c>
      <c r="AN150" s="75" t="s">
        <v>173</v>
      </c>
      <c r="AO150" s="75" t="s">
        <v>174</v>
      </c>
      <c r="AP150" s="75" t="s">
        <v>175</v>
      </c>
      <c r="AQ150" s="75" t="s">
        <v>176</v>
      </c>
      <c r="AR150" s="75" t="s">
        <v>177</v>
      </c>
      <c r="AS150" s="75" t="s">
        <v>178</v>
      </c>
      <c r="AT150" s="75" t="s">
        <v>179</v>
      </c>
      <c r="AU150" s="75" t="s">
        <v>180</v>
      </c>
      <c r="AV150" s="75" t="s">
        <v>181</v>
      </c>
      <c r="AW150" s="75" t="s">
        <v>182</v>
      </c>
      <c r="AX150" s="75" t="s">
        <v>183</v>
      </c>
      <c r="AY150" s="75" t="s">
        <v>184</v>
      </c>
      <c r="AZ150" s="75" t="s">
        <v>185</v>
      </c>
      <c r="BA150" s="75" t="s">
        <v>186</v>
      </c>
      <c r="BB150" s="75" t="s">
        <v>187</v>
      </c>
      <c r="BC150" s="75" t="s">
        <v>188</v>
      </c>
      <c r="BD150" s="75" t="s">
        <v>189</v>
      </c>
      <c r="BE150" s="75" t="s">
        <v>190</v>
      </c>
      <c r="BF150" s="75" t="s">
        <v>191</v>
      </c>
      <c r="BG150" s="75" t="s">
        <v>192</v>
      </c>
      <c r="BH150" s="75" t="s">
        <v>193</v>
      </c>
      <c r="BI150" s="75" t="s">
        <v>194</v>
      </c>
      <c r="BJ150" s="75" t="s">
        <v>195</v>
      </c>
      <c r="BK150" s="75" t="s">
        <v>196</v>
      </c>
      <c r="BL150" s="75" t="s">
        <v>197</v>
      </c>
      <c r="BM150" s="75" t="s">
        <v>198</v>
      </c>
    </row>
    <row r="151" spans="1:65" ht="21" customHeight="1">
      <c r="A151" s="77" t="s">
        <v>330</v>
      </c>
      <c r="C151" s="78"/>
      <c r="D151" s="78"/>
      <c r="E151" s="78"/>
      <c r="F151" s="78"/>
      <c r="G151" s="79"/>
      <c r="H151" s="79"/>
      <c r="I151" s="79"/>
      <c r="J151" s="79"/>
      <c r="K151" s="79"/>
      <c r="L151" s="79"/>
      <c r="M151" s="79"/>
      <c r="N151" s="79"/>
      <c r="O151" s="79"/>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79"/>
      <c r="AX151" s="79"/>
      <c r="AY151" s="79"/>
      <c r="AZ151" s="79"/>
      <c r="BA151" s="79"/>
      <c r="BB151" s="79"/>
      <c r="BC151" s="79"/>
      <c r="BD151" s="79"/>
      <c r="BE151" s="79"/>
      <c r="BF151" s="79"/>
      <c r="BG151" s="79"/>
      <c r="BH151" s="11"/>
      <c r="BI151" s="11"/>
      <c r="BJ151" s="11"/>
      <c r="BK151" s="11"/>
      <c r="BL151" s="11"/>
      <c r="BM151" s="11"/>
    </row>
    <row r="152" spans="1:65" ht="21" customHeight="1">
      <c r="A152" s="4" t="s">
        <v>331</v>
      </c>
      <c r="B152" s="5"/>
      <c r="C152" s="5"/>
      <c r="D152" s="5"/>
      <c r="E152" s="5"/>
      <c r="F152" s="5"/>
      <c r="G152" s="6"/>
      <c r="H152" s="6"/>
      <c r="I152" s="6"/>
      <c r="J152" s="6"/>
      <c r="K152" s="6"/>
      <c r="L152" s="6"/>
      <c r="M152" s="6"/>
      <c r="N152" s="7"/>
      <c r="O152" s="6"/>
      <c r="P152" s="6"/>
      <c r="Q152" s="6"/>
      <c r="R152" s="6"/>
      <c r="S152" s="6"/>
      <c r="T152" s="6"/>
      <c r="U152" s="6"/>
      <c r="V152" s="6"/>
      <c r="W152" s="6"/>
      <c r="X152" s="6"/>
      <c r="Y152" s="6"/>
      <c r="Z152" s="6"/>
      <c r="AA152" s="6"/>
      <c r="AB152" s="6"/>
      <c r="AC152" s="6"/>
      <c r="AD152" s="6"/>
      <c r="AE152" s="6"/>
      <c r="AF152" s="6"/>
      <c r="AG152" s="6"/>
      <c r="AH152" s="6"/>
      <c r="AI152" s="6"/>
      <c r="AJ152" s="6"/>
      <c r="AK152" s="6"/>
      <c r="AL152" s="5"/>
      <c r="AM152" s="5"/>
      <c r="AN152" s="5"/>
      <c r="AO152" s="5"/>
      <c r="AP152" s="5"/>
      <c r="AQ152" s="5"/>
      <c r="AR152" s="5"/>
      <c r="AS152" s="63"/>
      <c r="AT152" s="63"/>
      <c r="AU152" s="63"/>
      <c r="AV152" s="63"/>
      <c r="AW152" s="6"/>
      <c r="AX152" s="6"/>
      <c r="AY152" s="6"/>
      <c r="AZ152" s="6"/>
      <c r="BA152" s="6"/>
      <c r="BB152" s="6"/>
      <c r="BC152" s="7"/>
      <c r="BD152" s="6"/>
      <c r="BE152" s="6"/>
      <c r="BF152" s="6"/>
      <c r="BG152" s="6"/>
      <c r="BH152" s="6"/>
      <c r="BI152" s="6"/>
      <c r="BJ152" s="6"/>
      <c r="BK152" s="6"/>
      <c r="BL152" s="6"/>
      <c r="BM152" s="6"/>
    </row>
    <row r="153" spans="1:65" ht="21" customHeight="1">
      <c r="A153" s="5"/>
      <c r="B153" s="5" t="s">
        <v>332</v>
      </c>
      <c r="C153" s="5"/>
      <c r="D153" s="5"/>
      <c r="E153" s="5"/>
      <c r="F153" s="5"/>
      <c r="G153" s="9">
        <v>3824407</v>
      </c>
      <c r="H153" s="9">
        <v>3117478</v>
      </c>
      <c r="I153" s="9">
        <v>4086337</v>
      </c>
      <c r="J153" s="9">
        <v>3227178</v>
      </c>
      <c r="K153" s="9">
        <v>3079959</v>
      </c>
      <c r="L153" s="9">
        <v>2752839</v>
      </c>
      <c r="M153" s="9">
        <v>2863646</v>
      </c>
      <c r="N153" s="10">
        <v>3044257</v>
      </c>
      <c r="O153" s="9">
        <v>2982002</v>
      </c>
      <c r="P153" s="9">
        <f aca="true" t="shared" si="19" ref="P153:BE153">SUM(P154:P156)</f>
        <v>2941844</v>
      </c>
      <c r="Q153" s="9">
        <f t="shared" si="19"/>
        <v>3063405</v>
      </c>
      <c r="R153" s="9">
        <f t="shared" si="19"/>
        <v>3954323</v>
      </c>
      <c r="S153" s="9">
        <f t="shared" si="19"/>
        <v>4470908</v>
      </c>
      <c r="T153" s="9">
        <f t="shared" si="19"/>
        <v>4693198</v>
      </c>
      <c r="U153" s="9">
        <f t="shared" si="19"/>
        <v>6104921</v>
      </c>
      <c r="V153" s="9">
        <f t="shared" si="19"/>
        <v>5727865</v>
      </c>
      <c r="W153" s="9">
        <f t="shared" si="19"/>
        <v>5838257</v>
      </c>
      <c r="X153" s="9">
        <f t="shared" si="19"/>
        <v>6220633</v>
      </c>
      <c r="Y153" s="9">
        <f t="shared" si="19"/>
        <v>6488697</v>
      </c>
      <c r="Z153" s="9">
        <f t="shared" si="19"/>
        <v>7092082</v>
      </c>
      <c r="AA153" s="9">
        <f t="shared" si="19"/>
        <v>8217477</v>
      </c>
      <c r="AB153" s="9">
        <f t="shared" si="19"/>
        <v>9162851</v>
      </c>
      <c r="AC153" s="9">
        <f t="shared" si="19"/>
        <v>9813831</v>
      </c>
      <c r="AD153" s="9">
        <f t="shared" si="19"/>
        <v>10925506</v>
      </c>
      <c r="AE153" s="9">
        <f t="shared" si="19"/>
        <v>14146613</v>
      </c>
      <c r="AF153" s="9">
        <f t="shared" si="19"/>
        <v>20862976</v>
      </c>
      <c r="AG153" s="9">
        <f t="shared" si="19"/>
        <v>21013727</v>
      </c>
      <c r="AH153" s="9">
        <f t="shared" si="19"/>
        <v>24078683</v>
      </c>
      <c r="AI153" s="9">
        <f t="shared" si="19"/>
        <v>24336341</v>
      </c>
      <c r="AJ153" s="9">
        <f t="shared" si="19"/>
        <v>23291700</v>
      </c>
      <c r="AK153" s="9">
        <f t="shared" si="19"/>
        <v>33021740</v>
      </c>
      <c r="AL153" s="9">
        <f t="shared" si="19"/>
        <v>37351111</v>
      </c>
      <c r="AM153" s="9">
        <f t="shared" si="19"/>
        <v>37684281</v>
      </c>
      <c r="AN153" s="9">
        <f t="shared" si="19"/>
        <v>35563639</v>
      </c>
      <c r="AO153" s="9">
        <f t="shared" si="19"/>
        <v>37162813</v>
      </c>
      <c r="AP153" s="9">
        <f t="shared" si="19"/>
        <v>33836676</v>
      </c>
      <c r="AQ153" s="9">
        <f t="shared" si="19"/>
        <v>35397572</v>
      </c>
      <c r="AR153" s="9">
        <f t="shared" si="19"/>
        <v>26998200</v>
      </c>
      <c r="AS153" s="9">
        <f t="shared" si="19"/>
        <v>25562086</v>
      </c>
      <c r="AT153" s="9">
        <f t="shared" si="19"/>
        <v>28059657</v>
      </c>
      <c r="AU153" s="9">
        <f t="shared" si="19"/>
        <v>29939742</v>
      </c>
      <c r="AV153" s="9">
        <f t="shared" si="19"/>
        <v>31395657</v>
      </c>
      <c r="AW153" s="9">
        <f t="shared" si="19"/>
        <v>33366554</v>
      </c>
      <c r="AX153" s="9">
        <f t="shared" si="19"/>
        <v>33991027</v>
      </c>
      <c r="AY153" s="9">
        <f t="shared" si="19"/>
        <v>32815340</v>
      </c>
      <c r="AZ153" s="9">
        <f t="shared" si="19"/>
        <v>31310758</v>
      </c>
      <c r="BA153" s="9">
        <f t="shared" si="19"/>
        <v>32739863</v>
      </c>
      <c r="BB153" s="9">
        <f t="shared" si="19"/>
        <v>36124579</v>
      </c>
      <c r="BC153" s="10">
        <f t="shared" si="19"/>
        <v>38605499</v>
      </c>
      <c r="BD153" s="9">
        <f t="shared" si="19"/>
        <v>37846961</v>
      </c>
      <c r="BE153" s="9">
        <f t="shared" si="19"/>
        <v>37677653</v>
      </c>
      <c r="BF153" s="9"/>
      <c r="BG153" s="9"/>
      <c r="BH153" s="9"/>
      <c r="BI153" s="9"/>
      <c r="BJ153" s="9"/>
      <c r="BK153" s="9"/>
      <c r="BL153" s="9"/>
      <c r="BM153" s="9"/>
    </row>
    <row r="154" spans="1:65" ht="21" customHeight="1">
      <c r="A154" s="5"/>
      <c r="B154" s="5"/>
      <c r="C154" s="5" t="s">
        <v>333</v>
      </c>
      <c r="D154" s="5"/>
      <c r="E154" s="5"/>
      <c r="F154" s="5"/>
      <c r="G154" s="6">
        <v>3758961</v>
      </c>
      <c r="H154" s="6">
        <v>3040186</v>
      </c>
      <c r="I154" s="6">
        <v>3983951</v>
      </c>
      <c r="J154" s="6">
        <v>3141427</v>
      </c>
      <c r="K154" s="6">
        <v>3008484</v>
      </c>
      <c r="L154" s="6">
        <v>2668824</v>
      </c>
      <c r="M154" s="6">
        <v>2720429</v>
      </c>
      <c r="N154" s="7">
        <v>2957549</v>
      </c>
      <c r="O154" s="6">
        <v>2865158</v>
      </c>
      <c r="P154" s="6">
        <v>2826252</v>
      </c>
      <c r="Q154" s="6">
        <v>2948383</v>
      </c>
      <c r="R154" s="6">
        <v>3839712</v>
      </c>
      <c r="S154" s="6">
        <v>4375173</v>
      </c>
      <c r="T154" s="6">
        <v>4598645</v>
      </c>
      <c r="U154" s="6">
        <v>6039960</v>
      </c>
      <c r="V154" s="6">
        <v>5661886</v>
      </c>
      <c r="W154" s="6">
        <v>5766959</v>
      </c>
      <c r="X154" s="6">
        <v>6149335</v>
      </c>
      <c r="Y154" s="6">
        <v>6417399</v>
      </c>
      <c r="Z154" s="6">
        <v>7042082</v>
      </c>
      <c r="AA154" s="6">
        <v>8167477</v>
      </c>
      <c r="AB154" s="6">
        <v>9112851</v>
      </c>
      <c r="AC154" s="6">
        <v>9763831</v>
      </c>
      <c r="AD154" s="6">
        <v>10875506</v>
      </c>
      <c r="AE154" s="6">
        <v>14046613</v>
      </c>
      <c r="AF154" s="6">
        <v>20762976</v>
      </c>
      <c r="AG154" s="6">
        <v>20913727</v>
      </c>
      <c r="AH154" s="6">
        <v>23978683</v>
      </c>
      <c r="AI154" s="6">
        <v>24236341</v>
      </c>
      <c r="AJ154" s="6">
        <v>23191700</v>
      </c>
      <c r="AK154" s="6">
        <v>32821740</v>
      </c>
      <c r="AL154" s="6">
        <v>37101111</v>
      </c>
      <c r="AM154" s="6">
        <v>37434281</v>
      </c>
      <c r="AN154" s="6">
        <v>35313639</v>
      </c>
      <c r="AO154" s="6">
        <v>36912813</v>
      </c>
      <c r="AP154" s="6">
        <v>33586676</v>
      </c>
      <c r="AQ154" s="6">
        <v>35147572</v>
      </c>
      <c r="AR154" s="6">
        <v>26748200</v>
      </c>
      <c r="AS154" s="6">
        <v>25312086</v>
      </c>
      <c r="AT154" s="6">
        <v>27809657</v>
      </c>
      <c r="AU154" s="6">
        <v>29689742</v>
      </c>
      <c r="AV154" s="6">
        <v>31118657</v>
      </c>
      <c r="AW154" s="6">
        <v>33116554</v>
      </c>
      <c r="AX154" s="6">
        <v>33741027</v>
      </c>
      <c r="AY154" s="6">
        <v>32565340</v>
      </c>
      <c r="AZ154" s="6">
        <v>31060758</v>
      </c>
      <c r="BA154" s="6">
        <v>32489863</v>
      </c>
      <c r="BB154" s="6">
        <v>35874579</v>
      </c>
      <c r="BC154" s="7">
        <v>38405499</v>
      </c>
      <c r="BD154" s="6">
        <v>37646961</v>
      </c>
      <c r="BE154" s="6">
        <v>37477653</v>
      </c>
      <c r="BF154" s="6"/>
      <c r="BG154" s="6"/>
      <c r="BH154" s="6"/>
      <c r="BI154" s="6"/>
      <c r="BJ154" s="6"/>
      <c r="BK154" s="6"/>
      <c r="BL154" s="6"/>
      <c r="BM154" s="6"/>
    </row>
    <row r="155" spans="1:65" ht="21" customHeight="1">
      <c r="A155" s="5"/>
      <c r="B155" s="5"/>
      <c r="C155" s="81" t="s">
        <v>334</v>
      </c>
      <c r="D155" s="82"/>
      <c r="E155" s="82"/>
      <c r="F155" s="82"/>
      <c r="G155" s="6">
        <v>35446</v>
      </c>
      <c r="H155" s="6">
        <v>47292</v>
      </c>
      <c r="I155" s="6">
        <v>72386</v>
      </c>
      <c r="J155" s="6">
        <v>40714</v>
      </c>
      <c r="K155" s="6">
        <v>41475</v>
      </c>
      <c r="L155" s="6">
        <v>44015</v>
      </c>
      <c r="M155" s="6">
        <v>43217</v>
      </c>
      <c r="N155" s="7">
        <v>46708</v>
      </c>
      <c r="O155" s="6">
        <v>46844</v>
      </c>
      <c r="P155" s="6">
        <v>45592</v>
      </c>
      <c r="Q155" s="6">
        <v>45022</v>
      </c>
      <c r="R155" s="6">
        <v>44611</v>
      </c>
      <c r="S155" s="6">
        <v>25735</v>
      </c>
      <c r="T155" s="6">
        <v>24553</v>
      </c>
      <c r="U155" s="6">
        <v>14961</v>
      </c>
      <c r="V155" s="6">
        <v>15979</v>
      </c>
      <c r="W155" s="6">
        <v>21298</v>
      </c>
      <c r="X155" s="6">
        <v>21298</v>
      </c>
      <c r="Y155" s="6">
        <v>21298</v>
      </c>
      <c r="Z155" s="6">
        <v>0</v>
      </c>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7"/>
      <c r="BD155" s="6"/>
      <c r="BE155" s="6"/>
      <c r="BF155" s="6"/>
      <c r="BG155" s="6"/>
      <c r="BH155" s="6"/>
      <c r="BI155" s="6"/>
      <c r="BJ155" s="6"/>
      <c r="BK155" s="6"/>
      <c r="BL155" s="6"/>
      <c r="BM155" s="6"/>
    </row>
    <row r="156" spans="1:65" ht="21" customHeight="1">
      <c r="A156" s="5"/>
      <c r="B156" s="5"/>
      <c r="C156" s="5" t="s">
        <v>335</v>
      </c>
      <c r="D156" s="5"/>
      <c r="E156" s="5"/>
      <c r="F156" s="5"/>
      <c r="G156" s="6">
        <v>30000</v>
      </c>
      <c r="H156" s="6">
        <v>30000</v>
      </c>
      <c r="I156" s="6">
        <v>30000</v>
      </c>
      <c r="J156" s="6">
        <v>45037</v>
      </c>
      <c r="K156" s="6">
        <v>30000</v>
      </c>
      <c r="L156" s="6">
        <v>40000</v>
      </c>
      <c r="M156" s="6">
        <v>100000</v>
      </c>
      <c r="N156" s="7">
        <v>40000</v>
      </c>
      <c r="O156" s="6">
        <v>70000</v>
      </c>
      <c r="P156" s="6">
        <v>70000</v>
      </c>
      <c r="Q156" s="6">
        <v>70000</v>
      </c>
      <c r="R156" s="6">
        <v>70000</v>
      </c>
      <c r="S156" s="6">
        <v>70000</v>
      </c>
      <c r="T156" s="6">
        <v>70000</v>
      </c>
      <c r="U156" s="6">
        <v>50000</v>
      </c>
      <c r="V156" s="6">
        <v>50000</v>
      </c>
      <c r="W156" s="6">
        <v>50000</v>
      </c>
      <c r="X156" s="6">
        <v>50000</v>
      </c>
      <c r="Y156" s="6">
        <v>50000</v>
      </c>
      <c r="Z156" s="6">
        <v>50000</v>
      </c>
      <c r="AA156" s="6">
        <v>50000</v>
      </c>
      <c r="AB156" s="6">
        <v>50000</v>
      </c>
      <c r="AC156" s="6">
        <v>50000</v>
      </c>
      <c r="AD156" s="6">
        <v>50000</v>
      </c>
      <c r="AE156" s="6">
        <v>100000</v>
      </c>
      <c r="AF156" s="6">
        <v>100000</v>
      </c>
      <c r="AG156" s="6">
        <v>100000</v>
      </c>
      <c r="AH156" s="6">
        <v>100000</v>
      </c>
      <c r="AI156" s="6">
        <v>100000</v>
      </c>
      <c r="AJ156" s="6">
        <v>100000</v>
      </c>
      <c r="AK156" s="6">
        <v>200000</v>
      </c>
      <c r="AL156" s="6">
        <v>250000</v>
      </c>
      <c r="AM156" s="6">
        <v>250000</v>
      </c>
      <c r="AN156" s="6">
        <v>250000</v>
      </c>
      <c r="AO156" s="6">
        <v>250000</v>
      </c>
      <c r="AP156" s="6">
        <v>250000</v>
      </c>
      <c r="AQ156" s="6">
        <v>250000</v>
      </c>
      <c r="AR156" s="6">
        <v>250000</v>
      </c>
      <c r="AS156" s="6">
        <v>250000</v>
      </c>
      <c r="AT156" s="6">
        <v>250000</v>
      </c>
      <c r="AU156" s="6">
        <v>250000</v>
      </c>
      <c r="AV156" s="6">
        <v>277000</v>
      </c>
      <c r="AW156" s="6">
        <v>250000</v>
      </c>
      <c r="AX156" s="6">
        <v>250000</v>
      </c>
      <c r="AY156" s="6">
        <v>250000</v>
      </c>
      <c r="AZ156" s="6">
        <v>250000</v>
      </c>
      <c r="BA156" s="6">
        <v>250000</v>
      </c>
      <c r="BB156" s="6">
        <v>250000</v>
      </c>
      <c r="BC156" s="7">
        <v>200000</v>
      </c>
      <c r="BD156" s="6">
        <v>200000</v>
      </c>
      <c r="BE156" s="6">
        <v>200000</v>
      </c>
      <c r="BF156" s="6"/>
      <c r="BG156" s="6"/>
      <c r="BH156" s="6"/>
      <c r="BI156" s="6"/>
      <c r="BJ156" s="6"/>
      <c r="BK156" s="6"/>
      <c r="BL156" s="6"/>
      <c r="BM156" s="6"/>
    </row>
    <row r="157" spans="1:65" ht="21" customHeight="1">
      <c r="A157" s="5"/>
      <c r="B157" s="5"/>
      <c r="C157" s="5"/>
      <c r="D157" s="5"/>
      <c r="E157" s="5"/>
      <c r="F157" s="5"/>
      <c r="G157" s="6"/>
      <c r="H157" s="6"/>
      <c r="I157" s="6"/>
      <c r="J157" s="6"/>
      <c r="K157" s="6"/>
      <c r="L157" s="6"/>
      <c r="M157" s="6"/>
      <c r="N157" s="7"/>
      <c r="O157" s="6"/>
      <c r="P157" s="6"/>
      <c r="Q157" s="6"/>
      <c r="R157" s="6"/>
      <c r="S157" s="6"/>
      <c r="T157" s="6"/>
      <c r="U157" s="6"/>
      <c r="V157" s="6"/>
      <c r="W157" s="6"/>
      <c r="X157" s="6"/>
      <c r="Y157" s="6"/>
      <c r="Z157" s="6"/>
      <c r="AA157" s="6"/>
      <c r="AB157" s="6"/>
      <c r="AC157" s="6"/>
      <c r="AD157" s="6"/>
      <c r="AE157" s="6"/>
      <c r="AF157" s="6"/>
      <c r="AG157" s="6"/>
      <c r="AH157" s="6"/>
      <c r="AI157" s="6"/>
      <c r="AJ157" s="6"/>
      <c r="AK157" s="6"/>
      <c r="AL157" s="5"/>
      <c r="AM157" s="5"/>
      <c r="AN157" s="5"/>
      <c r="AO157" s="5"/>
      <c r="AP157" s="5"/>
      <c r="AQ157" s="5"/>
      <c r="AR157" s="5"/>
      <c r="AS157" s="6"/>
      <c r="AT157" s="6"/>
      <c r="AU157" s="6"/>
      <c r="AV157" s="6"/>
      <c r="AW157" s="6"/>
      <c r="AX157" s="6"/>
      <c r="AY157" s="6"/>
      <c r="AZ157" s="6"/>
      <c r="BA157" s="6"/>
      <c r="BB157" s="6"/>
      <c r="BC157" s="7"/>
      <c r="BD157" s="6"/>
      <c r="BE157" s="6"/>
      <c r="BF157" s="6"/>
      <c r="BG157" s="6"/>
      <c r="BH157" s="6"/>
      <c r="BI157" s="6"/>
      <c r="BJ157" s="6"/>
      <c r="BK157" s="6"/>
      <c r="BL157" s="6"/>
      <c r="BM157" s="6"/>
    </row>
    <row r="158" spans="1:65" ht="21" customHeight="1">
      <c r="A158" s="4" t="s">
        <v>336</v>
      </c>
      <c r="B158" s="5"/>
      <c r="C158" s="5"/>
      <c r="D158" s="5"/>
      <c r="E158" s="5"/>
      <c r="F158" s="5"/>
      <c r="G158" s="6"/>
      <c r="H158" s="6"/>
      <c r="I158" s="6"/>
      <c r="J158" s="6"/>
      <c r="K158" s="6"/>
      <c r="L158" s="6"/>
      <c r="M158" s="6"/>
      <c r="N158" s="7"/>
      <c r="O158" s="6"/>
      <c r="P158" s="6"/>
      <c r="Q158" s="6"/>
      <c r="R158" s="6"/>
      <c r="S158" s="6"/>
      <c r="T158" s="6"/>
      <c r="U158" s="6"/>
      <c r="V158" s="6"/>
      <c r="W158" s="6"/>
      <c r="X158" s="6"/>
      <c r="Y158" s="6"/>
      <c r="Z158" s="6"/>
      <c r="AA158" s="6"/>
      <c r="AB158" s="6"/>
      <c r="AC158" s="6"/>
      <c r="AD158" s="6"/>
      <c r="AE158" s="6"/>
      <c r="AF158" s="6"/>
      <c r="AG158" s="6"/>
      <c r="AH158" s="6"/>
      <c r="AI158" s="6"/>
      <c r="AJ158" s="6"/>
      <c r="AK158" s="6"/>
      <c r="AL158" s="5"/>
      <c r="AM158" s="5"/>
      <c r="AN158" s="5"/>
      <c r="AO158" s="5"/>
      <c r="AP158" s="5"/>
      <c r="AQ158" s="5"/>
      <c r="AR158" s="5"/>
      <c r="AS158" s="6"/>
      <c r="AT158" s="6"/>
      <c r="AU158" s="6"/>
      <c r="AV158" s="6"/>
      <c r="AW158" s="6"/>
      <c r="AX158" s="6"/>
      <c r="AY158" s="6"/>
      <c r="AZ158" s="6"/>
      <c r="BA158" s="6"/>
      <c r="BB158" s="6"/>
      <c r="BC158" s="7"/>
      <c r="BD158" s="6"/>
      <c r="BE158" s="6"/>
      <c r="BF158" s="6"/>
      <c r="BG158" s="6"/>
      <c r="BH158" s="6"/>
      <c r="BI158" s="6"/>
      <c r="BJ158" s="6"/>
      <c r="BK158" s="6"/>
      <c r="BL158" s="6"/>
      <c r="BM158" s="6"/>
    </row>
    <row r="159" spans="1:65" ht="21" customHeight="1">
      <c r="A159" s="5"/>
      <c r="B159" s="5" t="s">
        <v>332</v>
      </c>
      <c r="C159" s="5"/>
      <c r="D159" s="5"/>
      <c r="E159" s="5"/>
      <c r="F159" s="5"/>
      <c r="G159" s="9">
        <v>1352256</v>
      </c>
      <c r="H159" s="9">
        <v>1449501</v>
      </c>
      <c r="I159" s="9">
        <v>3809458</v>
      </c>
      <c r="J159" s="9">
        <v>5338860</v>
      </c>
      <c r="K159" s="9">
        <v>4409976</v>
      </c>
      <c r="L159" s="9">
        <v>4080854</v>
      </c>
      <c r="M159" s="9">
        <v>4251159</v>
      </c>
      <c r="N159" s="10">
        <v>5280185</v>
      </c>
      <c r="O159" s="9">
        <v>6653582</v>
      </c>
      <c r="P159" s="9">
        <f aca="true" t="shared" si="20" ref="P159:BM159">SUM(P160:P164)</f>
        <v>6792916</v>
      </c>
      <c r="Q159" s="9">
        <f t="shared" si="20"/>
        <v>8071128</v>
      </c>
      <c r="R159" s="9">
        <f t="shared" si="20"/>
        <v>9801944</v>
      </c>
      <c r="S159" s="9">
        <f t="shared" si="20"/>
        <v>12676867</v>
      </c>
      <c r="T159" s="9">
        <f t="shared" si="20"/>
        <v>13881383</v>
      </c>
      <c r="U159" s="9">
        <f t="shared" si="20"/>
        <v>14637799</v>
      </c>
      <c r="V159" s="9">
        <f t="shared" si="20"/>
        <v>16712301</v>
      </c>
      <c r="W159" s="9">
        <f t="shared" si="20"/>
        <v>20815839</v>
      </c>
      <c r="X159" s="9">
        <f t="shared" si="20"/>
        <v>23897936</v>
      </c>
      <c r="Y159" s="9">
        <f t="shared" si="20"/>
        <v>12796968</v>
      </c>
      <c r="Z159" s="9">
        <f t="shared" si="20"/>
        <v>22705224</v>
      </c>
      <c r="AA159" s="9">
        <f t="shared" si="20"/>
        <v>29318986</v>
      </c>
      <c r="AB159" s="9">
        <f t="shared" si="20"/>
        <v>35065833</v>
      </c>
      <c r="AC159" s="9">
        <f t="shared" si="20"/>
        <v>46882080</v>
      </c>
      <c r="AD159" s="9">
        <f t="shared" si="20"/>
        <v>50025755</v>
      </c>
      <c r="AE159" s="9">
        <f t="shared" si="20"/>
        <v>61913137</v>
      </c>
      <c r="AF159" s="9">
        <f t="shared" si="20"/>
        <v>73135718</v>
      </c>
      <c r="AG159" s="9">
        <f t="shared" si="20"/>
        <v>97556201</v>
      </c>
      <c r="AH159" s="9">
        <f t="shared" si="20"/>
        <v>134894381</v>
      </c>
      <c r="AI159" s="9">
        <f t="shared" si="20"/>
        <v>159045773</v>
      </c>
      <c r="AJ159" s="9">
        <f t="shared" si="20"/>
        <v>170157604</v>
      </c>
      <c r="AK159" s="9">
        <f t="shared" si="20"/>
        <v>169143974</v>
      </c>
      <c r="AL159" s="9">
        <f t="shared" si="20"/>
        <v>189568394</v>
      </c>
      <c r="AM159" s="9">
        <f t="shared" si="20"/>
        <v>207741530</v>
      </c>
      <c r="AN159" s="9">
        <f t="shared" si="20"/>
        <v>201466876</v>
      </c>
      <c r="AO159" s="9">
        <f t="shared" si="20"/>
        <v>307106519</v>
      </c>
      <c r="AP159" s="9">
        <f t="shared" si="20"/>
        <v>310916571</v>
      </c>
      <c r="AQ159" s="9">
        <f t="shared" si="20"/>
        <v>445419414</v>
      </c>
      <c r="AR159" s="9">
        <f t="shared" si="20"/>
        <v>463140127</v>
      </c>
      <c r="AS159" s="9">
        <f t="shared" si="20"/>
        <v>539365575</v>
      </c>
      <c r="AT159" s="9">
        <f t="shared" si="20"/>
        <v>809343724</v>
      </c>
      <c r="AU159" s="9">
        <f t="shared" si="20"/>
        <v>696524014</v>
      </c>
      <c r="AV159" s="9">
        <f t="shared" si="20"/>
        <v>1124349829</v>
      </c>
      <c r="AW159" s="9">
        <f t="shared" si="20"/>
        <v>1162800289</v>
      </c>
      <c r="AX159" s="9">
        <f t="shared" si="20"/>
        <v>989713313</v>
      </c>
      <c r="AY159" s="9">
        <f t="shared" si="20"/>
        <v>973671224</v>
      </c>
      <c r="AZ159" s="9">
        <f t="shared" si="20"/>
        <v>836685952</v>
      </c>
      <c r="BA159" s="9">
        <f t="shared" si="20"/>
        <v>739686355</v>
      </c>
      <c r="BB159" s="9">
        <f t="shared" si="20"/>
        <v>608043500</v>
      </c>
      <c r="BC159" s="10">
        <f t="shared" si="20"/>
        <v>398578105</v>
      </c>
      <c r="BD159" s="9">
        <f t="shared" si="20"/>
        <v>296560063</v>
      </c>
      <c r="BE159" s="9">
        <f t="shared" si="20"/>
        <v>116877174</v>
      </c>
      <c r="BF159" s="9">
        <f t="shared" si="20"/>
        <v>81951479</v>
      </c>
      <c r="BG159" s="9">
        <f t="shared" si="20"/>
        <v>142874488</v>
      </c>
      <c r="BH159" s="9">
        <f t="shared" si="20"/>
        <v>147185633</v>
      </c>
      <c r="BI159" s="9">
        <f t="shared" si="20"/>
        <v>157640232</v>
      </c>
      <c r="BJ159" s="9">
        <f>SUM(BJ160:BJ164)</f>
        <v>151051019</v>
      </c>
      <c r="BK159" s="9">
        <f t="shared" si="20"/>
        <v>158272745</v>
      </c>
      <c r="BL159" s="9">
        <f t="shared" si="20"/>
        <v>213082491</v>
      </c>
      <c r="BM159" s="9">
        <f t="shared" si="20"/>
        <v>212100085</v>
      </c>
    </row>
    <row r="160" spans="1:65" ht="21" customHeight="1">
      <c r="A160" s="83"/>
      <c r="B160" s="83"/>
      <c r="C160" s="83" t="s">
        <v>337</v>
      </c>
      <c r="D160" s="83"/>
      <c r="E160" s="83"/>
      <c r="F160" s="83"/>
      <c r="G160" s="63">
        <v>196602</v>
      </c>
      <c r="H160" s="63">
        <v>245822</v>
      </c>
      <c r="I160" s="63">
        <v>1148865</v>
      </c>
      <c r="J160" s="63">
        <v>1989137</v>
      </c>
      <c r="K160" s="63">
        <v>746262</v>
      </c>
      <c r="L160" s="63">
        <v>630144</v>
      </c>
      <c r="M160" s="63">
        <v>575026</v>
      </c>
      <c r="N160" s="84">
        <v>564680</v>
      </c>
      <c r="O160" s="63">
        <v>678510</v>
      </c>
      <c r="P160" s="63">
        <v>755080</v>
      </c>
      <c r="Q160" s="63">
        <v>946860</v>
      </c>
      <c r="R160" s="63">
        <v>1109996</v>
      </c>
      <c r="S160" s="63">
        <v>1310983</v>
      </c>
      <c r="T160" s="63">
        <v>1854000</v>
      </c>
      <c r="U160" s="63">
        <v>1910094</v>
      </c>
      <c r="V160" s="63">
        <v>2332000</v>
      </c>
      <c r="W160" s="63">
        <v>3120089</v>
      </c>
      <c r="X160" s="63">
        <v>11988519</v>
      </c>
      <c r="Y160" s="63">
        <v>6416629</v>
      </c>
      <c r="Z160" s="63">
        <v>7302793</v>
      </c>
      <c r="AA160" s="63">
        <v>8199541</v>
      </c>
      <c r="AB160" s="63">
        <v>7811429</v>
      </c>
      <c r="AC160" s="63">
        <v>15718030</v>
      </c>
      <c r="AD160" s="63">
        <v>13371474</v>
      </c>
      <c r="AE160" s="63">
        <v>12184248</v>
      </c>
      <c r="AF160" s="63">
        <v>10122491</v>
      </c>
      <c r="AG160" s="63">
        <v>10840019</v>
      </c>
      <c r="AH160" s="63">
        <v>13143731</v>
      </c>
      <c r="AI160" s="63">
        <v>26222381</v>
      </c>
      <c r="AJ160" s="63">
        <v>28560272</v>
      </c>
      <c r="AK160" s="63">
        <v>22981356</v>
      </c>
      <c r="AL160" s="63">
        <v>34369184</v>
      </c>
      <c r="AM160" s="63">
        <v>55754174</v>
      </c>
      <c r="AN160" s="63">
        <v>81194504</v>
      </c>
      <c r="AO160" s="63">
        <v>268558428</v>
      </c>
      <c r="AP160" s="63">
        <v>263616346</v>
      </c>
      <c r="AQ160" s="63">
        <v>297471789</v>
      </c>
      <c r="AR160" s="63">
        <v>190242919</v>
      </c>
      <c r="AS160" s="63">
        <v>235505437</v>
      </c>
      <c r="AT160" s="63">
        <v>297198618</v>
      </c>
      <c r="AU160" s="63">
        <v>349104117</v>
      </c>
      <c r="AV160" s="63">
        <v>274166238</v>
      </c>
      <c r="AW160" s="63">
        <v>202041255</v>
      </c>
      <c r="AX160" s="63">
        <v>231006914</v>
      </c>
      <c r="AY160" s="63">
        <v>122846350</v>
      </c>
      <c r="AZ160" s="63">
        <v>110049189</v>
      </c>
      <c r="BA160" s="63">
        <v>97005713</v>
      </c>
      <c r="BB160" s="63">
        <v>86714946</v>
      </c>
      <c r="BC160" s="84">
        <v>79764828</v>
      </c>
      <c r="BD160" s="13">
        <v>98325668</v>
      </c>
      <c r="BE160" s="63">
        <v>63968116</v>
      </c>
      <c r="BF160" s="63">
        <v>70113903</v>
      </c>
      <c r="BG160" s="63">
        <v>130958664</v>
      </c>
      <c r="BH160" s="63">
        <v>135395011</v>
      </c>
      <c r="BI160" s="63">
        <v>145883340</v>
      </c>
      <c r="BJ160" s="63">
        <v>139329667</v>
      </c>
      <c r="BK160" s="63">
        <v>146632962</v>
      </c>
      <c r="BL160" s="63">
        <v>154170304</v>
      </c>
      <c r="BM160" s="63">
        <v>153217597</v>
      </c>
    </row>
    <row r="161" spans="1:65" ht="21" customHeight="1">
      <c r="A161" s="83"/>
      <c r="B161" s="83"/>
      <c r="C161" s="83" t="s">
        <v>338</v>
      </c>
      <c r="D161" s="83"/>
      <c r="E161" s="83"/>
      <c r="F161" s="83"/>
      <c r="G161" s="63">
        <v>7597</v>
      </c>
      <c r="H161" s="63">
        <v>9135</v>
      </c>
      <c r="I161" s="63">
        <v>21786</v>
      </c>
      <c r="J161" s="63">
        <v>22136</v>
      </c>
      <c r="K161" s="63">
        <v>24517</v>
      </c>
      <c r="L161" s="63">
        <v>24350</v>
      </c>
      <c r="M161" s="63">
        <v>27911</v>
      </c>
      <c r="N161" s="84">
        <v>30374</v>
      </c>
      <c r="O161" s="63">
        <v>35336</v>
      </c>
      <c r="P161" s="63">
        <v>46530</v>
      </c>
      <c r="Q161" s="63">
        <v>57755</v>
      </c>
      <c r="R161" s="63">
        <v>69697</v>
      </c>
      <c r="S161" s="63">
        <v>122753</v>
      </c>
      <c r="T161" s="63">
        <v>175859</v>
      </c>
      <c r="U161" s="63">
        <v>175634</v>
      </c>
      <c r="V161" s="63">
        <v>207703</v>
      </c>
      <c r="W161" s="63">
        <v>232799</v>
      </c>
      <c r="X161" s="63">
        <v>278134</v>
      </c>
      <c r="Y161" s="63">
        <v>307076</v>
      </c>
      <c r="Z161" s="63">
        <v>337515</v>
      </c>
      <c r="AA161" s="63">
        <v>404744</v>
      </c>
      <c r="AB161" s="63">
        <v>502720</v>
      </c>
      <c r="AC161" s="63">
        <v>626249</v>
      </c>
      <c r="AD161" s="63">
        <v>713847</v>
      </c>
      <c r="AE161" s="63">
        <v>828635</v>
      </c>
      <c r="AF161" s="63">
        <v>1079899</v>
      </c>
      <c r="AG161" s="63">
        <v>1191596</v>
      </c>
      <c r="AH161" s="63">
        <v>1275912</v>
      </c>
      <c r="AI161" s="63">
        <v>1400864</v>
      </c>
      <c r="AJ161" s="63">
        <v>1447129</v>
      </c>
      <c r="AK161" s="63">
        <v>1501424</v>
      </c>
      <c r="AL161" s="63">
        <v>1548341</v>
      </c>
      <c r="AM161" s="63">
        <v>1614799</v>
      </c>
      <c r="AN161" s="63">
        <v>1641300</v>
      </c>
      <c r="AO161" s="63">
        <v>6444790</v>
      </c>
      <c r="AP161" s="63">
        <v>1761282</v>
      </c>
      <c r="AQ161" s="63">
        <v>1884423</v>
      </c>
      <c r="AR161" s="63">
        <v>1915634</v>
      </c>
      <c r="AS161" s="63">
        <v>2081110</v>
      </c>
      <c r="AT161" s="63">
        <v>2356242</v>
      </c>
      <c r="AU161" s="63">
        <v>3452183</v>
      </c>
      <c r="AV161" s="63">
        <v>4670412</v>
      </c>
      <c r="AW161" s="63">
        <v>4719948</v>
      </c>
      <c r="AX161" s="63">
        <v>4915223</v>
      </c>
      <c r="AY161" s="63">
        <v>5051365</v>
      </c>
      <c r="AZ161" s="63">
        <v>4959970</v>
      </c>
      <c r="BA161" s="63">
        <v>5106092</v>
      </c>
      <c r="BB161" s="63">
        <v>5333188</v>
      </c>
      <c r="BC161" s="84">
        <v>5428612</v>
      </c>
      <c r="BD161" s="13">
        <v>5923248</v>
      </c>
      <c r="BE161" s="63">
        <v>7095214</v>
      </c>
      <c r="BF161" s="63">
        <v>829440</v>
      </c>
      <c r="BG161" s="63">
        <v>915824</v>
      </c>
      <c r="BH161" s="63">
        <v>790622</v>
      </c>
      <c r="BI161" s="63">
        <v>756892</v>
      </c>
      <c r="BJ161" s="63">
        <v>721352</v>
      </c>
      <c r="BK161" s="63">
        <v>639783</v>
      </c>
      <c r="BL161" s="63">
        <v>711767</v>
      </c>
      <c r="BM161" s="63">
        <v>682068</v>
      </c>
    </row>
    <row r="162" spans="1:65" ht="21" customHeight="1">
      <c r="A162" s="83"/>
      <c r="B162" s="83"/>
      <c r="C162" s="81" t="s">
        <v>334</v>
      </c>
      <c r="D162" s="82"/>
      <c r="E162" s="82"/>
      <c r="F162" s="82"/>
      <c r="G162" s="5"/>
      <c r="H162" s="5"/>
      <c r="I162" s="5"/>
      <c r="J162" s="5"/>
      <c r="K162" s="5"/>
      <c r="L162" s="5"/>
      <c r="M162" s="5"/>
      <c r="N162" s="31"/>
      <c r="O162" s="5"/>
      <c r="P162" s="5"/>
      <c r="Q162" s="5"/>
      <c r="R162" s="5"/>
      <c r="S162" s="5"/>
      <c r="T162" s="5"/>
      <c r="U162" s="5"/>
      <c r="V162" s="5"/>
      <c r="W162" s="5"/>
      <c r="X162" s="5"/>
      <c r="Y162" s="5"/>
      <c r="Z162" s="5"/>
      <c r="AA162" s="5"/>
      <c r="AB162" s="5"/>
      <c r="AC162" s="5"/>
      <c r="AD162" s="5"/>
      <c r="AE162" s="5">
        <v>0</v>
      </c>
      <c r="AF162" s="1">
        <v>0</v>
      </c>
      <c r="AG162" s="63">
        <v>0</v>
      </c>
      <c r="AH162" s="63"/>
      <c r="AI162" s="63">
        <v>0</v>
      </c>
      <c r="AJ162" s="63"/>
      <c r="AK162" s="63"/>
      <c r="AL162" s="63"/>
      <c r="AM162" s="63"/>
      <c r="AN162" s="63">
        <v>0</v>
      </c>
      <c r="AO162" s="63">
        <v>2479671</v>
      </c>
      <c r="AP162" s="63">
        <v>15321480</v>
      </c>
      <c r="AQ162" s="63">
        <v>115990914</v>
      </c>
      <c r="AR162" s="63">
        <v>240981574</v>
      </c>
      <c r="AS162" s="63">
        <v>271779028</v>
      </c>
      <c r="AT162" s="63">
        <v>479788864</v>
      </c>
      <c r="AU162" s="63">
        <v>313967714</v>
      </c>
      <c r="AV162" s="63">
        <v>815494179</v>
      </c>
      <c r="AW162" s="63">
        <v>926039086</v>
      </c>
      <c r="AX162" s="63">
        <v>723791176</v>
      </c>
      <c r="AY162" s="63">
        <v>815773509</v>
      </c>
      <c r="AZ162" s="63">
        <v>691676793</v>
      </c>
      <c r="BA162" s="63">
        <v>607574550</v>
      </c>
      <c r="BB162" s="63">
        <v>485995366</v>
      </c>
      <c r="BC162" s="84">
        <v>293384665</v>
      </c>
      <c r="BD162" s="13">
        <v>172311147</v>
      </c>
      <c r="BE162" s="63">
        <v>34813844</v>
      </c>
      <c r="BF162" s="63">
        <v>8136</v>
      </c>
      <c r="BG162" s="63">
        <v>0</v>
      </c>
      <c r="BH162" s="63"/>
      <c r="BI162" s="63"/>
      <c r="BJ162" s="63"/>
      <c r="BK162" s="63"/>
      <c r="BL162" s="63">
        <v>5170</v>
      </c>
      <c r="BM162" s="63">
        <v>5170</v>
      </c>
    </row>
    <row r="163" spans="1:65" ht="21" customHeight="1">
      <c r="A163" s="83"/>
      <c r="B163" s="83"/>
      <c r="C163" s="85" t="s">
        <v>339</v>
      </c>
      <c r="D163" s="85"/>
      <c r="E163" s="85"/>
      <c r="F163" s="85"/>
      <c r="G163" s="5"/>
      <c r="H163" s="5"/>
      <c r="I163" s="5"/>
      <c r="J163" s="5"/>
      <c r="K163" s="5"/>
      <c r="L163" s="5"/>
      <c r="M163" s="5"/>
      <c r="N163" s="31"/>
      <c r="O163" s="5"/>
      <c r="P163" s="5"/>
      <c r="Q163" s="5"/>
      <c r="R163" s="5"/>
      <c r="S163" s="5"/>
      <c r="T163" s="5"/>
      <c r="U163" s="5"/>
      <c r="V163" s="5"/>
      <c r="W163" s="5"/>
      <c r="X163" s="5"/>
      <c r="Y163" s="5"/>
      <c r="Z163" s="5"/>
      <c r="AA163" s="5"/>
      <c r="AB163" s="5"/>
      <c r="AC163" s="5"/>
      <c r="AD163" s="5"/>
      <c r="AE163" s="5"/>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84"/>
      <c r="BD163" s="13"/>
      <c r="BE163" s="63"/>
      <c r="BF163" s="63"/>
      <c r="BG163" s="63"/>
      <c r="BH163" s="63"/>
      <c r="BI163" s="63"/>
      <c r="BJ163" s="63"/>
      <c r="BK163" s="63"/>
      <c r="BL163" s="86">
        <v>49195250</v>
      </c>
      <c r="BM163" s="86">
        <v>49195250</v>
      </c>
    </row>
    <row r="164" spans="1:65" ht="21" customHeight="1">
      <c r="A164" s="83"/>
      <c r="B164" s="83"/>
      <c r="C164" s="83" t="s">
        <v>335</v>
      </c>
      <c r="D164" s="83"/>
      <c r="E164" s="83"/>
      <c r="F164" s="83"/>
      <c r="G164" s="63">
        <v>1148057</v>
      </c>
      <c r="H164" s="63">
        <v>1194544</v>
      </c>
      <c r="I164" s="63">
        <v>2638807</v>
      </c>
      <c r="J164" s="63">
        <v>3327587</v>
      </c>
      <c r="K164" s="63">
        <v>3639197</v>
      </c>
      <c r="L164" s="63">
        <v>3426360</v>
      </c>
      <c r="M164" s="63">
        <v>3648222</v>
      </c>
      <c r="N164" s="84">
        <v>4685131</v>
      </c>
      <c r="O164" s="63">
        <v>5939736</v>
      </c>
      <c r="P164" s="63">
        <v>5991306</v>
      </c>
      <c r="Q164" s="63">
        <v>7066513</v>
      </c>
      <c r="R164" s="63">
        <v>8622251</v>
      </c>
      <c r="S164" s="63">
        <v>11243131</v>
      </c>
      <c r="T164" s="63">
        <v>11851524</v>
      </c>
      <c r="U164" s="63">
        <v>12552071</v>
      </c>
      <c r="V164" s="63">
        <v>14172598</v>
      </c>
      <c r="W164" s="63">
        <v>17462951</v>
      </c>
      <c r="X164" s="63">
        <v>11631283</v>
      </c>
      <c r="Y164" s="63">
        <v>6073263</v>
      </c>
      <c r="Z164" s="63">
        <v>15064916</v>
      </c>
      <c r="AA164" s="63">
        <v>20714701</v>
      </c>
      <c r="AB164" s="63">
        <v>26751684</v>
      </c>
      <c r="AC164" s="63">
        <v>30537801</v>
      </c>
      <c r="AD164" s="63">
        <v>35940434</v>
      </c>
      <c r="AE164" s="63">
        <v>48900254</v>
      </c>
      <c r="AF164" s="63">
        <v>61933328</v>
      </c>
      <c r="AG164" s="63">
        <v>85524586</v>
      </c>
      <c r="AH164" s="63">
        <v>120474738</v>
      </c>
      <c r="AI164" s="63">
        <v>131422528</v>
      </c>
      <c r="AJ164" s="63">
        <v>140150203</v>
      </c>
      <c r="AK164" s="63">
        <v>144661194</v>
      </c>
      <c r="AL164" s="63">
        <v>153650869</v>
      </c>
      <c r="AM164" s="63">
        <v>150372557</v>
      </c>
      <c r="AN164" s="63">
        <v>118631072</v>
      </c>
      <c r="AO164" s="63">
        <v>29623630</v>
      </c>
      <c r="AP164" s="63">
        <v>30217463</v>
      </c>
      <c r="AQ164" s="63">
        <v>30072288</v>
      </c>
      <c r="AR164" s="63">
        <v>30000000</v>
      </c>
      <c r="AS164" s="63">
        <v>30000000</v>
      </c>
      <c r="AT164" s="63">
        <v>30000000</v>
      </c>
      <c r="AU164" s="63">
        <v>30000000</v>
      </c>
      <c r="AV164" s="63">
        <v>30019000</v>
      </c>
      <c r="AW164" s="63">
        <v>30000000</v>
      </c>
      <c r="AX164" s="63">
        <v>30000000</v>
      </c>
      <c r="AY164" s="63">
        <v>30000000</v>
      </c>
      <c r="AZ164" s="63">
        <v>30000000</v>
      </c>
      <c r="BA164" s="63">
        <v>30000000</v>
      </c>
      <c r="BB164" s="63">
        <v>30000000</v>
      </c>
      <c r="BC164" s="84">
        <v>20000000</v>
      </c>
      <c r="BD164" s="13">
        <v>20000000</v>
      </c>
      <c r="BE164" s="63">
        <v>11000000</v>
      </c>
      <c r="BF164" s="63">
        <v>11000000</v>
      </c>
      <c r="BG164" s="63">
        <v>11000000</v>
      </c>
      <c r="BH164" s="63">
        <v>11000000</v>
      </c>
      <c r="BI164" s="63">
        <v>11000000</v>
      </c>
      <c r="BJ164" s="63">
        <v>11000000</v>
      </c>
      <c r="BK164" s="63">
        <v>11000000</v>
      </c>
      <c r="BL164" s="63">
        <v>9000000</v>
      </c>
      <c r="BM164" s="63">
        <v>9000000</v>
      </c>
    </row>
    <row r="165" spans="1:65" ht="21" customHeight="1">
      <c r="A165" s="5"/>
      <c r="B165" s="5"/>
      <c r="C165" s="5"/>
      <c r="D165" s="5"/>
      <c r="E165" s="5"/>
      <c r="F165" s="5"/>
      <c r="G165" s="63"/>
      <c r="H165" s="63"/>
      <c r="I165" s="63"/>
      <c r="J165" s="63"/>
      <c r="K165" s="63"/>
      <c r="L165" s="63"/>
      <c r="M165" s="63"/>
      <c r="N165" s="84"/>
      <c r="O165" s="63"/>
      <c r="P165" s="6"/>
      <c r="Q165" s="6"/>
      <c r="R165" s="6"/>
      <c r="S165" s="6"/>
      <c r="T165" s="6"/>
      <c r="U165" s="6"/>
      <c r="V165" s="6"/>
      <c r="W165" s="6"/>
      <c r="X165" s="6"/>
      <c r="Y165" s="6"/>
      <c r="Z165" s="6"/>
      <c r="AA165" s="6"/>
      <c r="AB165" s="6"/>
      <c r="AC165" s="6"/>
      <c r="AD165" s="6"/>
      <c r="AE165" s="6"/>
      <c r="AF165" s="6"/>
      <c r="AG165" s="6"/>
      <c r="AH165" s="6"/>
      <c r="AI165" s="6"/>
      <c r="AJ165" s="6"/>
      <c r="AK165" s="6"/>
      <c r="AL165" s="5"/>
      <c r="AM165" s="5"/>
      <c r="AN165" s="5"/>
      <c r="AO165" s="5"/>
      <c r="AP165" s="5"/>
      <c r="AQ165" s="5"/>
      <c r="AR165" s="5"/>
      <c r="AS165" s="6"/>
      <c r="AT165" s="6"/>
      <c r="AU165" s="6"/>
      <c r="AV165" s="6"/>
      <c r="AW165" s="6"/>
      <c r="AX165" s="6"/>
      <c r="AY165" s="6"/>
      <c r="AZ165" s="6"/>
      <c r="BA165" s="6"/>
      <c r="BB165" s="6"/>
      <c r="BC165" s="7"/>
      <c r="BD165" s="6"/>
      <c r="BE165" s="6"/>
      <c r="BF165" s="6"/>
      <c r="BG165" s="6"/>
      <c r="BH165" s="6"/>
      <c r="BI165" s="6"/>
      <c r="BJ165" s="6"/>
      <c r="BK165" s="6"/>
      <c r="BL165" s="6"/>
      <c r="BM165" s="6"/>
    </row>
    <row r="166" spans="1:65" ht="21" customHeight="1">
      <c r="A166" s="87" t="s">
        <v>340</v>
      </c>
      <c r="B166" s="5"/>
      <c r="C166" s="5"/>
      <c r="D166" s="83"/>
      <c r="E166" s="83"/>
      <c r="F166" s="83"/>
      <c r="G166" s="63"/>
      <c r="H166" s="63"/>
      <c r="I166" s="63"/>
      <c r="J166" s="63"/>
      <c r="K166" s="63"/>
      <c r="L166" s="63"/>
      <c r="M166" s="63"/>
      <c r="N166" s="84"/>
      <c r="O166" s="63"/>
      <c r="P166" s="88"/>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84"/>
      <c r="BD166" s="6"/>
      <c r="BE166" s="63"/>
      <c r="BF166" s="63"/>
      <c r="BG166" s="63"/>
      <c r="BH166" s="63"/>
      <c r="BI166" s="63"/>
      <c r="BJ166" s="63"/>
      <c r="BK166" s="63"/>
      <c r="BL166" s="63"/>
      <c r="BM166" s="63"/>
    </row>
    <row r="167" spans="1:65" ht="21" customHeight="1">
      <c r="A167" s="5"/>
      <c r="B167" s="5" t="s">
        <v>332</v>
      </c>
      <c r="C167" s="5"/>
      <c r="D167" s="83"/>
      <c r="E167" s="83"/>
      <c r="F167" s="83"/>
      <c r="G167" s="28">
        <v>1374177</v>
      </c>
      <c r="H167" s="63"/>
      <c r="I167" s="63"/>
      <c r="J167" s="63"/>
      <c r="K167" s="63"/>
      <c r="L167" s="63"/>
      <c r="M167" s="63"/>
      <c r="N167" s="84"/>
      <c r="O167" s="63"/>
      <c r="P167" s="88"/>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84"/>
      <c r="BD167" s="6"/>
      <c r="BE167" s="63"/>
      <c r="BF167" s="63"/>
      <c r="BG167" s="63"/>
      <c r="BH167" s="63"/>
      <c r="BI167" s="63"/>
      <c r="BJ167" s="63"/>
      <c r="BK167" s="63"/>
      <c r="BL167" s="63"/>
      <c r="BM167" s="63"/>
    </row>
    <row r="168" spans="1:65" ht="21" customHeight="1">
      <c r="A168" s="5"/>
      <c r="B168" s="5"/>
      <c r="C168" s="5" t="s">
        <v>341</v>
      </c>
      <c r="D168" s="83"/>
      <c r="E168" s="83"/>
      <c r="F168" s="83"/>
      <c r="G168" s="63">
        <v>432</v>
      </c>
      <c r="H168" s="63"/>
      <c r="I168" s="63"/>
      <c r="J168" s="63"/>
      <c r="K168" s="63"/>
      <c r="L168" s="63"/>
      <c r="M168" s="63"/>
      <c r="N168" s="84"/>
      <c r="O168" s="63"/>
      <c r="P168" s="88"/>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84"/>
      <c r="BD168" s="6"/>
      <c r="BE168" s="63"/>
      <c r="BF168" s="63"/>
      <c r="BG168" s="63"/>
      <c r="BH168" s="63"/>
      <c r="BI168" s="63"/>
      <c r="BJ168" s="63"/>
      <c r="BK168" s="63"/>
      <c r="BL168" s="63"/>
      <c r="BM168" s="63"/>
    </row>
    <row r="169" spans="1:65" ht="21" customHeight="1">
      <c r="A169" s="5"/>
      <c r="B169" s="5"/>
      <c r="C169" s="5" t="s">
        <v>342</v>
      </c>
      <c r="D169" s="83"/>
      <c r="E169" s="83"/>
      <c r="F169" s="83"/>
      <c r="G169" s="63">
        <v>1212595</v>
      </c>
      <c r="H169" s="63"/>
      <c r="I169" s="63"/>
      <c r="J169" s="63"/>
      <c r="K169" s="63"/>
      <c r="L169" s="63"/>
      <c r="M169" s="63"/>
      <c r="N169" s="84"/>
      <c r="O169" s="63"/>
      <c r="P169" s="88"/>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84"/>
      <c r="BD169" s="6"/>
      <c r="BE169" s="63"/>
      <c r="BF169" s="63"/>
      <c r="BG169" s="63"/>
      <c r="BH169" s="63"/>
      <c r="BI169" s="63"/>
      <c r="BJ169" s="63"/>
      <c r="BK169" s="63"/>
      <c r="BL169" s="63"/>
      <c r="BM169" s="63"/>
    </row>
    <row r="170" spans="1:65" ht="21" customHeight="1">
      <c r="A170" s="5"/>
      <c r="B170" s="5"/>
      <c r="C170" s="5" t="s">
        <v>335</v>
      </c>
      <c r="D170" s="83"/>
      <c r="E170" s="83"/>
      <c r="F170" s="83"/>
      <c r="G170" s="63"/>
      <c r="H170" s="63"/>
      <c r="I170" s="63"/>
      <c r="J170" s="63"/>
      <c r="K170" s="63"/>
      <c r="L170" s="63"/>
      <c r="M170" s="63"/>
      <c r="N170" s="84"/>
      <c r="O170" s="63"/>
      <c r="P170" s="88"/>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84"/>
      <c r="BD170" s="6"/>
      <c r="BE170" s="63"/>
      <c r="BF170" s="63"/>
      <c r="BG170" s="63"/>
      <c r="BH170" s="63"/>
      <c r="BI170" s="63"/>
      <c r="BJ170" s="63"/>
      <c r="BK170" s="63"/>
      <c r="BL170" s="63"/>
      <c r="BM170" s="63"/>
    </row>
    <row r="171" spans="1:65" ht="21" customHeight="1">
      <c r="A171" s="5"/>
      <c r="B171" s="5"/>
      <c r="C171" s="85" t="s">
        <v>339</v>
      </c>
      <c r="D171" s="85"/>
      <c r="E171" s="85"/>
      <c r="F171" s="85"/>
      <c r="G171" s="86">
        <v>161150</v>
      </c>
      <c r="H171" s="63"/>
      <c r="I171" s="63"/>
      <c r="J171" s="63"/>
      <c r="K171" s="63"/>
      <c r="L171" s="63"/>
      <c r="M171" s="63"/>
      <c r="N171" s="84"/>
      <c r="O171" s="63"/>
      <c r="P171" s="88"/>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84"/>
      <c r="BD171" s="6"/>
      <c r="BE171" s="63"/>
      <c r="BF171" s="63"/>
      <c r="BG171" s="63"/>
      <c r="BH171" s="63"/>
      <c r="BI171" s="63"/>
      <c r="BJ171" s="63"/>
      <c r="BK171" s="63"/>
      <c r="BL171" s="63"/>
      <c r="BM171" s="63"/>
    </row>
    <row r="172" spans="1:65" ht="21" customHeight="1">
      <c r="A172" s="5"/>
      <c r="B172" s="5"/>
      <c r="C172" s="54"/>
      <c r="D172" s="5"/>
      <c r="E172" s="5"/>
      <c r="F172" s="5"/>
      <c r="G172" s="6"/>
      <c r="H172" s="6"/>
      <c r="I172" s="6"/>
      <c r="J172" s="6"/>
      <c r="K172" s="6"/>
      <c r="L172" s="6"/>
      <c r="M172" s="6"/>
      <c r="N172" s="7"/>
      <c r="O172" s="6"/>
      <c r="P172" s="48"/>
      <c r="Q172" s="6"/>
      <c r="R172" s="6"/>
      <c r="S172" s="6"/>
      <c r="T172" s="6"/>
      <c r="U172" s="6"/>
      <c r="V172" s="6"/>
      <c r="W172" s="6"/>
      <c r="X172" s="6"/>
      <c r="Y172" s="6"/>
      <c r="Z172" s="6"/>
      <c r="AA172" s="6"/>
      <c r="AB172" s="6"/>
      <c r="AC172" s="6"/>
      <c r="AD172" s="6"/>
      <c r="AE172" s="6"/>
      <c r="AF172" s="6"/>
      <c r="AG172" s="6"/>
      <c r="AH172" s="6"/>
      <c r="AI172" s="6"/>
      <c r="AJ172" s="6"/>
      <c r="AK172" s="6"/>
      <c r="AL172" s="5"/>
      <c r="AM172" s="5"/>
      <c r="AN172" s="5"/>
      <c r="AO172" s="5"/>
      <c r="AP172" s="5"/>
      <c r="AQ172" s="5"/>
      <c r="AR172" s="5"/>
      <c r="AS172" s="6"/>
      <c r="AT172" s="6"/>
      <c r="AU172" s="6"/>
      <c r="AV172" s="6"/>
      <c r="AW172" s="6"/>
      <c r="AX172" s="6"/>
      <c r="AY172" s="6"/>
      <c r="AZ172" s="6"/>
      <c r="BA172" s="6"/>
      <c r="BB172" s="6"/>
      <c r="BC172" s="7"/>
      <c r="BD172" s="6"/>
      <c r="BE172" s="6"/>
      <c r="BF172" s="6"/>
      <c r="BG172" s="6"/>
      <c r="BH172" s="6"/>
      <c r="BI172" s="6"/>
      <c r="BJ172" s="6"/>
      <c r="BK172" s="6"/>
      <c r="BL172" s="6"/>
      <c r="BM172" s="6"/>
    </row>
    <row r="173" spans="1:65" ht="21" customHeight="1">
      <c r="A173" s="87" t="s">
        <v>343</v>
      </c>
      <c r="B173" s="5"/>
      <c r="C173" s="5"/>
      <c r="D173" s="5"/>
      <c r="E173" s="5"/>
      <c r="F173" s="5"/>
      <c r="G173" s="6"/>
      <c r="H173" s="6"/>
      <c r="I173" s="6"/>
      <c r="J173" s="6"/>
      <c r="K173" s="6"/>
      <c r="L173" s="6"/>
      <c r="M173" s="6"/>
      <c r="N173" s="7"/>
      <c r="O173" s="6"/>
      <c r="P173" s="48"/>
      <c r="Q173" s="6"/>
      <c r="R173" s="6"/>
      <c r="S173" s="6"/>
      <c r="T173" s="6"/>
      <c r="U173" s="6"/>
      <c r="V173" s="6"/>
      <c r="W173" s="6"/>
      <c r="X173" s="6"/>
      <c r="Y173" s="6"/>
      <c r="Z173" s="6"/>
      <c r="AA173" s="6"/>
      <c r="AB173" s="6"/>
      <c r="AC173" s="6"/>
      <c r="AD173" s="6"/>
      <c r="AE173" s="6"/>
      <c r="AF173" s="6"/>
      <c r="AG173" s="6"/>
      <c r="AH173" s="6"/>
      <c r="AI173" s="6"/>
      <c r="AJ173" s="6"/>
      <c r="AK173" s="6"/>
      <c r="AL173" s="5"/>
      <c r="AM173" s="5"/>
      <c r="AN173" s="5"/>
      <c r="AO173" s="5"/>
      <c r="AP173" s="5"/>
      <c r="AQ173" s="5"/>
      <c r="AR173" s="5"/>
      <c r="AS173" s="6"/>
      <c r="AT173" s="6"/>
      <c r="AU173" s="6"/>
      <c r="AV173" s="6"/>
      <c r="AW173" s="6"/>
      <c r="AX173" s="6"/>
      <c r="AY173" s="6"/>
      <c r="AZ173" s="6"/>
      <c r="BA173" s="6"/>
      <c r="BB173" s="6"/>
      <c r="BC173" s="7"/>
      <c r="BD173" s="6"/>
      <c r="BE173" s="6"/>
      <c r="BF173" s="6"/>
      <c r="BG173" s="6"/>
      <c r="BH173" s="6"/>
      <c r="BI173" s="6"/>
      <c r="BJ173" s="6"/>
      <c r="BK173" s="6"/>
      <c r="BL173" s="6"/>
      <c r="BM173" s="6"/>
    </row>
    <row r="174" spans="1:65" ht="21" customHeight="1">
      <c r="A174" s="5"/>
      <c r="B174" s="5" t="s">
        <v>332</v>
      </c>
      <c r="C174" s="5"/>
      <c r="D174" s="5"/>
      <c r="E174" s="5"/>
      <c r="F174" s="5"/>
      <c r="G174" s="28">
        <v>92793413</v>
      </c>
      <c r="H174" s="6"/>
      <c r="I174" s="6"/>
      <c r="J174" s="6"/>
      <c r="K174" s="6"/>
      <c r="L174" s="6"/>
      <c r="M174" s="6"/>
      <c r="N174" s="7"/>
      <c r="O174" s="6"/>
      <c r="P174" s="48"/>
      <c r="Q174" s="6"/>
      <c r="R174" s="6"/>
      <c r="S174" s="6"/>
      <c r="T174" s="6"/>
      <c r="U174" s="6"/>
      <c r="V174" s="6"/>
      <c r="W174" s="6"/>
      <c r="X174" s="6"/>
      <c r="Y174" s="6"/>
      <c r="Z174" s="6"/>
      <c r="AA174" s="6"/>
      <c r="AB174" s="6"/>
      <c r="AC174" s="6"/>
      <c r="AD174" s="6"/>
      <c r="AE174" s="6"/>
      <c r="AF174" s="6"/>
      <c r="AG174" s="6"/>
      <c r="AH174" s="6"/>
      <c r="AI174" s="6"/>
      <c r="AJ174" s="6"/>
      <c r="AK174" s="6"/>
      <c r="AL174" s="5"/>
      <c r="AM174" s="5"/>
      <c r="AN174" s="5"/>
      <c r="AO174" s="5"/>
      <c r="AP174" s="5"/>
      <c r="AQ174" s="5"/>
      <c r="AR174" s="5"/>
      <c r="AS174" s="6"/>
      <c r="AT174" s="6"/>
      <c r="AU174" s="6"/>
      <c r="AV174" s="6"/>
      <c r="AW174" s="6"/>
      <c r="AX174" s="6"/>
      <c r="AY174" s="6"/>
      <c r="AZ174" s="6"/>
      <c r="BA174" s="6"/>
      <c r="BB174" s="6"/>
      <c r="BC174" s="7"/>
      <c r="BD174" s="6"/>
      <c r="BE174" s="6"/>
      <c r="BF174" s="6"/>
      <c r="BG174" s="6"/>
      <c r="BH174" s="6"/>
      <c r="BI174" s="6"/>
      <c r="BJ174" s="6"/>
      <c r="BK174" s="6"/>
      <c r="BL174" s="6"/>
      <c r="BM174" s="6"/>
    </row>
    <row r="175" spans="1:65" ht="21" customHeight="1">
      <c r="A175" s="5"/>
      <c r="B175" s="5"/>
      <c r="C175" s="5" t="s">
        <v>344</v>
      </c>
      <c r="D175" s="5"/>
      <c r="E175" s="5"/>
      <c r="F175" s="5"/>
      <c r="G175" s="6">
        <v>81456538</v>
      </c>
      <c r="H175" s="6"/>
      <c r="I175" s="6"/>
      <c r="J175" s="6"/>
      <c r="K175" s="6"/>
      <c r="L175" s="6"/>
      <c r="M175" s="6"/>
      <c r="N175" s="7"/>
      <c r="O175" s="6"/>
      <c r="P175" s="48"/>
      <c r="Q175" s="6"/>
      <c r="R175" s="6"/>
      <c r="S175" s="6"/>
      <c r="T175" s="6"/>
      <c r="U175" s="6"/>
      <c r="V175" s="6"/>
      <c r="W175" s="6"/>
      <c r="X175" s="6"/>
      <c r="Y175" s="6"/>
      <c r="Z175" s="6"/>
      <c r="AA175" s="6"/>
      <c r="AB175" s="6"/>
      <c r="AC175" s="6"/>
      <c r="AD175" s="6"/>
      <c r="AE175" s="6"/>
      <c r="AF175" s="6"/>
      <c r="AG175" s="6"/>
      <c r="AH175" s="6"/>
      <c r="AI175" s="6"/>
      <c r="AJ175" s="6"/>
      <c r="AK175" s="6"/>
      <c r="AL175" s="5"/>
      <c r="AM175" s="5"/>
      <c r="AN175" s="5"/>
      <c r="AO175" s="5"/>
      <c r="AP175" s="5"/>
      <c r="AQ175" s="5"/>
      <c r="AR175" s="5"/>
      <c r="AS175" s="6"/>
      <c r="AT175" s="6"/>
      <c r="AU175" s="6"/>
      <c r="AV175" s="6"/>
      <c r="AW175" s="6"/>
      <c r="AX175" s="6"/>
      <c r="AY175" s="6"/>
      <c r="AZ175" s="6"/>
      <c r="BA175" s="6"/>
      <c r="BB175" s="6"/>
      <c r="BC175" s="7"/>
      <c r="BD175" s="6"/>
      <c r="BE175" s="6"/>
      <c r="BF175" s="6"/>
      <c r="BG175" s="6"/>
      <c r="BH175" s="6"/>
      <c r="BI175" s="6"/>
      <c r="BJ175" s="6"/>
      <c r="BK175" s="6"/>
      <c r="BL175" s="6"/>
      <c r="BM175" s="6"/>
    </row>
    <row r="176" spans="1:65" ht="21" customHeight="1">
      <c r="A176" s="5"/>
      <c r="B176" s="5"/>
      <c r="C176" s="5" t="s">
        <v>345</v>
      </c>
      <c r="D176" s="5"/>
      <c r="E176" s="5"/>
      <c r="F176" s="5"/>
      <c r="G176" s="6"/>
      <c r="H176" s="6"/>
      <c r="I176" s="6"/>
      <c r="J176" s="6"/>
      <c r="K176" s="6"/>
      <c r="L176" s="6"/>
      <c r="M176" s="6"/>
      <c r="N176" s="7"/>
      <c r="O176" s="6"/>
      <c r="P176" s="48"/>
      <c r="Q176" s="6"/>
      <c r="R176" s="6"/>
      <c r="S176" s="6"/>
      <c r="T176" s="6"/>
      <c r="U176" s="6"/>
      <c r="V176" s="6"/>
      <c r="W176" s="6"/>
      <c r="X176" s="6"/>
      <c r="Y176" s="6"/>
      <c r="Z176" s="6"/>
      <c r="AA176" s="6"/>
      <c r="AB176" s="6"/>
      <c r="AC176" s="6"/>
      <c r="AD176" s="6"/>
      <c r="AE176" s="6"/>
      <c r="AF176" s="6"/>
      <c r="AG176" s="6"/>
      <c r="AH176" s="6"/>
      <c r="AI176" s="6"/>
      <c r="AJ176" s="6"/>
      <c r="AK176" s="6"/>
      <c r="AL176" s="5"/>
      <c r="AM176" s="5"/>
      <c r="AN176" s="5"/>
      <c r="AO176" s="5"/>
      <c r="AP176" s="5"/>
      <c r="AQ176" s="5"/>
      <c r="AR176" s="5"/>
      <c r="AS176" s="6"/>
      <c r="AT176" s="6"/>
      <c r="AU176" s="6"/>
      <c r="AV176" s="6"/>
      <c r="AW176" s="6"/>
      <c r="AX176" s="6"/>
      <c r="AY176" s="6"/>
      <c r="AZ176" s="6"/>
      <c r="BA176" s="6"/>
      <c r="BB176" s="6"/>
      <c r="BC176" s="7"/>
      <c r="BD176" s="6"/>
      <c r="BE176" s="6"/>
      <c r="BF176" s="6"/>
      <c r="BG176" s="6"/>
      <c r="BH176" s="6"/>
      <c r="BI176" s="6"/>
      <c r="BJ176" s="6"/>
      <c r="BK176" s="6"/>
      <c r="BL176" s="6"/>
      <c r="BM176" s="6"/>
    </row>
    <row r="177" spans="1:65" ht="21" customHeight="1">
      <c r="A177" s="5"/>
      <c r="B177" s="5"/>
      <c r="C177" s="5" t="s">
        <v>346</v>
      </c>
      <c r="D177" s="5"/>
      <c r="E177" s="5"/>
      <c r="F177" s="5"/>
      <c r="G177" s="6"/>
      <c r="H177" s="6"/>
      <c r="I177" s="6"/>
      <c r="J177" s="6"/>
      <c r="K177" s="6"/>
      <c r="L177" s="6"/>
      <c r="M177" s="6"/>
      <c r="N177" s="7"/>
      <c r="O177" s="6"/>
      <c r="P177" s="48"/>
      <c r="Q177" s="6"/>
      <c r="R177" s="6"/>
      <c r="S177" s="6"/>
      <c r="T177" s="6"/>
      <c r="U177" s="6"/>
      <c r="V177" s="6"/>
      <c r="W177" s="6"/>
      <c r="X177" s="6"/>
      <c r="Y177" s="6"/>
      <c r="Z177" s="6"/>
      <c r="AA177" s="6"/>
      <c r="AB177" s="6"/>
      <c r="AC177" s="6"/>
      <c r="AD177" s="6"/>
      <c r="AE177" s="6"/>
      <c r="AF177" s="6"/>
      <c r="AG177" s="6"/>
      <c r="AH177" s="6"/>
      <c r="AI177" s="6"/>
      <c r="AJ177" s="6"/>
      <c r="AK177" s="6"/>
      <c r="AL177" s="5"/>
      <c r="AM177" s="5"/>
      <c r="AN177" s="5"/>
      <c r="AO177" s="5"/>
      <c r="AP177" s="5"/>
      <c r="AQ177" s="5"/>
      <c r="AR177" s="5"/>
      <c r="AS177" s="6"/>
      <c r="AT177" s="6"/>
      <c r="AU177" s="6"/>
      <c r="AV177" s="6"/>
      <c r="AW177" s="6"/>
      <c r="AX177" s="6"/>
      <c r="AY177" s="6"/>
      <c r="AZ177" s="6"/>
      <c r="BA177" s="6"/>
      <c r="BB177" s="6"/>
      <c r="BC177" s="7"/>
      <c r="BD177" s="6"/>
      <c r="BE177" s="6"/>
      <c r="BF177" s="6"/>
      <c r="BG177" s="6"/>
      <c r="BH177" s="6"/>
      <c r="BI177" s="6"/>
      <c r="BJ177" s="6"/>
      <c r="BK177" s="6"/>
      <c r="BL177" s="6"/>
      <c r="BM177" s="6"/>
    </row>
    <row r="178" spans="1:65" ht="21" customHeight="1">
      <c r="A178" s="5"/>
      <c r="B178" s="5"/>
      <c r="C178" s="89" t="s">
        <v>347</v>
      </c>
      <c r="D178" s="89"/>
      <c r="E178" s="89"/>
      <c r="F178" s="5"/>
      <c r="G178" s="6"/>
      <c r="H178" s="6"/>
      <c r="I178" s="6"/>
      <c r="J178" s="6"/>
      <c r="K178" s="6"/>
      <c r="L178" s="6"/>
      <c r="M178" s="6"/>
      <c r="N178" s="7"/>
      <c r="O178" s="6"/>
      <c r="P178" s="48"/>
      <c r="Q178" s="6"/>
      <c r="R178" s="6"/>
      <c r="S178" s="6"/>
      <c r="T178" s="6"/>
      <c r="U178" s="6"/>
      <c r="V178" s="6"/>
      <c r="W178" s="6"/>
      <c r="X178" s="6"/>
      <c r="Y178" s="6"/>
      <c r="Z178" s="6"/>
      <c r="AA178" s="6"/>
      <c r="AB178" s="6"/>
      <c r="AC178" s="6"/>
      <c r="AD178" s="6"/>
      <c r="AE178" s="6"/>
      <c r="AF178" s="6"/>
      <c r="AG178" s="6"/>
      <c r="AH178" s="6"/>
      <c r="AI178" s="6"/>
      <c r="AJ178" s="6"/>
      <c r="AK178" s="6"/>
      <c r="AL178" s="5"/>
      <c r="AM178" s="5"/>
      <c r="AN178" s="5"/>
      <c r="AO178" s="5"/>
      <c r="AP178" s="5"/>
      <c r="AQ178" s="5"/>
      <c r="AR178" s="5"/>
      <c r="AS178" s="6"/>
      <c r="AT178" s="6"/>
      <c r="AU178" s="6"/>
      <c r="AV178" s="6"/>
      <c r="AW178" s="6"/>
      <c r="AX178" s="6"/>
      <c r="AY178" s="6"/>
      <c r="AZ178" s="6"/>
      <c r="BA178" s="6"/>
      <c r="BB178" s="6"/>
      <c r="BC178" s="7"/>
      <c r="BD178" s="6"/>
      <c r="BE178" s="6"/>
      <c r="BF178" s="6"/>
      <c r="BG178" s="6"/>
      <c r="BH178" s="6"/>
      <c r="BI178" s="6"/>
      <c r="BJ178" s="6"/>
      <c r="BK178" s="6"/>
      <c r="BL178" s="6"/>
      <c r="BM178" s="6"/>
    </row>
    <row r="179" spans="1:65" ht="21" customHeight="1">
      <c r="A179" s="5"/>
      <c r="B179" s="5"/>
      <c r="C179" s="5" t="s">
        <v>335</v>
      </c>
      <c r="D179" s="5"/>
      <c r="E179" s="5"/>
      <c r="F179" s="5"/>
      <c r="G179" s="6">
        <v>10436128</v>
      </c>
      <c r="H179" s="6"/>
      <c r="I179" s="6"/>
      <c r="J179" s="6"/>
      <c r="K179" s="6"/>
      <c r="L179" s="6"/>
      <c r="M179" s="6"/>
      <c r="N179" s="7"/>
      <c r="O179" s="6"/>
      <c r="P179" s="48"/>
      <c r="Q179" s="6"/>
      <c r="R179" s="6"/>
      <c r="S179" s="6"/>
      <c r="T179" s="6"/>
      <c r="U179" s="6"/>
      <c r="V179" s="6"/>
      <c r="W179" s="6"/>
      <c r="X179" s="6"/>
      <c r="Y179" s="6"/>
      <c r="Z179" s="6"/>
      <c r="AA179" s="6"/>
      <c r="AB179" s="6"/>
      <c r="AC179" s="6"/>
      <c r="AD179" s="6"/>
      <c r="AE179" s="6"/>
      <c r="AF179" s="6"/>
      <c r="AG179" s="6"/>
      <c r="AH179" s="6"/>
      <c r="AI179" s="6"/>
      <c r="AJ179" s="6"/>
      <c r="AK179" s="6"/>
      <c r="AL179" s="5"/>
      <c r="AM179" s="5"/>
      <c r="AN179" s="5"/>
      <c r="AO179" s="5"/>
      <c r="AP179" s="5"/>
      <c r="AQ179" s="5"/>
      <c r="AR179" s="5"/>
      <c r="AS179" s="6"/>
      <c r="AT179" s="6"/>
      <c r="AU179" s="6"/>
      <c r="AV179" s="6"/>
      <c r="AW179" s="6"/>
      <c r="AX179" s="6"/>
      <c r="AY179" s="6"/>
      <c r="AZ179" s="6"/>
      <c r="BA179" s="6"/>
      <c r="BB179" s="6"/>
      <c r="BC179" s="7"/>
      <c r="BD179" s="6"/>
      <c r="BE179" s="6"/>
      <c r="BF179" s="6"/>
      <c r="BG179" s="6"/>
      <c r="BH179" s="6"/>
      <c r="BI179" s="6"/>
      <c r="BJ179" s="6"/>
      <c r="BK179" s="6"/>
      <c r="BL179" s="6"/>
      <c r="BM179" s="6"/>
    </row>
    <row r="180" spans="1:65" ht="21" customHeight="1">
      <c r="A180" s="5"/>
      <c r="B180" s="5"/>
      <c r="C180" s="5" t="s">
        <v>348</v>
      </c>
      <c r="D180" s="5"/>
      <c r="E180" s="5"/>
      <c r="F180" s="5"/>
      <c r="G180" s="6">
        <v>900747</v>
      </c>
      <c r="H180" s="6"/>
      <c r="I180" s="6"/>
      <c r="J180" s="6"/>
      <c r="K180" s="6"/>
      <c r="L180" s="6"/>
      <c r="M180" s="6"/>
      <c r="N180" s="7"/>
      <c r="O180" s="6"/>
      <c r="P180" s="48"/>
      <c r="Q180" s="6"/>
      <c r="R180" s="6"/>
      <c r="S180" s="6"/>
      <c r="T180" s="6"/>
      <c r="U180" s="6"/>
      <c r="V180" s="6"/>
      <c r="W180" s="6"/>
      <c r="X180" s="6"/>
      <c r="Y180" s="6"/>
      <c r="Z180" s="6"/>
      <c r="AA180" s="6"/>
      <c r="AB180" s="6"/>
      <c r="AC180" s="6"/>
      <c r="AD180" s="6"/>
      <c r="AE180" s="6"/>
      <c r="AF180" s="6"/>
      <c r="AG180" s="6"/>
      <c r="AH180" s="6"/>
      <c r="AI180" s="6"/>
      <c r="AJ180" s="6"/>
      <c r="AK180" s="6"/>
      <c r="AL180" s="5"/>
      <c r="AM180" s="5"/>
      <c r="AN180" s="5"/>
      <c r="AO180" s="5"/>
      <c r="AP180" s="5"/>
      <c r="AQ180" s="5"/>
      <c r="AR180" s="5"/>
      <c r="AS180" s="6"/>
      <c r="AT180" s="6"/>
      <c r="AU180" s="6"/>
      <c r="AV180" s="6"/>
      <c r="AW180" s="6"/>
      <c r="AX180" s="6"/>
      <c r="AY180" s="6"/>
      <c r="AZ180" s="6"/>
      <c r="BA180" s="6"/>
      <c r="BB180" s="6"/>
      <c r="BC180" s="7"/>
      <c r="BD180" s="6"/>
      <c r="BE180" s="6"/>
      <c r="BF180" s="6"/>
      <c r="BG180" s="6"/>
      <c r="BH180" s="6"/>
      <c r="BI180" s="6"/>
      <c r="BJ180" s="6"/>
      <c r="BK180" s="6"/>
      <c r="BL180" s="6"/>
      <c r="BM180" s="6"/>
    </row>
    <row r="181" spans="1:65" ht="21" customHeight="1">
      <c r="A181" s="5"/>
      <c r="B181" s="5"/>
      <c r="C181" s="5" t="s">
        <v>349</v>
      </c>
      <c r="D181" s="5"/>
      <c r="E181" s="5"/>
      <c r="F181" s="5"/>
      <c r="G181" s="6"/>
      <c r="H181" s="6"/>
      <c r="I181" s="6"/>
      <c r="J181" s="6"/>
      <c r="K181" s="6"/>
      <c r="L181" s="6"/>
      <c r="M181" s="6"/>
      <c r="N181" s="7"/>
      <c r="O181" s="6"/>
      <c r="P181" s="48"/>
      <c r="Q181" s="6"/>
      <c r="R181" s="6"/>
      <c r="S181" s="6"/>
      <c r="T181" s="6"/>
      <c r="U181" s="6"/>
      <c r="V181" s="6"/>
      <c r="W181" s="6"/>
      <c r="X181" s="6"/>
      <c r="Y181" s="6"/>
      <c r="Z181" s="6"/>
      <c r="AA181" s="6"/>
      <c r="AB181" s="6"/>
      <c r="AC181" s="6"/>
      <c r="AD181" s="6"/>
      <c r="AE181" s="6"/>
      <c r="AF181" s="6"/>
      <c r="AG181" s="6"/>
      <c r="AH181" s="6"/>
      <c r="AI181" s="6"/>
      <c r="AJ181" s="6"/>
      <c r="AK181" s="6"/>
      <c r="AL181" s="5"/>
      <c r="AM181" s="5"/>
      <c r="AN181" s="5"/>
      <c r="AO181" s="5"/>
      <c r="AP181" s="5"/>
      <c r="AQ181" s="5"/>
      <c r="AR181" s="5"/>
      <c r="AS181" s="6"/>
      <c r="AT181" s="6"/>
      <c r="AU181" s="6"/>
      <c r="AV181" s="6"/>
      <c r="AW181" s="6"/>
      <c r="AX181" s="6"/>
      <c r="AY181" s="6"/>
      <c r="AZ181" s="6"/>
      <c r="BA181" s="6"/>
      <c r="BB181" s="6"/>
      <c r="BC181" s="7"/>
      <c r="BD181" s="6"/>
      <c r="BE181" s="6"/>
      <c r="BF181" s="6"/>
      <c r="BG181" s="6"/>
      <c r="BH181" s="6"/>
      <c r="BI181" s="6"/>
      <c r="BJ181" s="6"/>
      <c r="BK181" s="6"/>
      <c r="BL181" s="6"/>
      <c r="BM181" s="6"/>
    </row>
    <row r="182" spans="1:65" ht="21" customHeight="1">
      <c r="A182" s="5"/>
      <c r="B182" s="5"/>
      <c r="C182" s="5"/>
      <c r="D182" s="5"/>
      <c r="E182" s="5"/>
      <c r="F182" s="5"/>
      <c r="G182" s="6"/>
      <c r="H182" s="6"/>
      <c r="I182" s="6"/>
      <c r="J182" s="6"/>
      <c r="K182" s="6"/>
      <c r="L182" s="6"/>
      <c r="M182" s="6"/>
      <c r="N182" s="7"/>
      <c r="O182" s="6"/>
      <c r="P182" s="48"/>
      <c r="Q182" s="6"/>
      <c r="R182" s="6"/>
      <c r="S182" s="6"/>
      <c r="T182" s="6"/>
      <c r="U182" s="6"/>
      <c r="V182" s="6"/>
      <c r="W182" s="6"/>
      <c r="X182" s="6"/>
      <c r="Y182" s="6"/>
      <c r="Z182" s="6"/>
      <c r="AA182" s="6"/>
      <c r="AB182" s="6"/>
      <c r="AC182" s="6"/>
      <c r="AD182" s="6"/>
      <c r="AE182" s="6"/>
      <c r="AF182" s="6"/>
      <c r="AG182" s="6"/>
      <c r="AH182" s="6"/>
      <c r="AI182" s="6"/>
      <c r="AJ182" s="6"/>
      <c r="AK182" s="6"/>
      <c r="AL182" s="5"/>
      <c r="AM182" s="5"/>
      <c r="AN182" s="5"/>
      <c r="AO182" s="5"/>
      <c r="AP182" s="5"/>
      <c r="AQ182" s="5"/>
      <c r="AR182" s="5"/>
      <c r="AS182" s="6"/>
      <c r="AT182" s="6"/>
      <c r="AU182" s="6"/>
      <c r="AV182" s="6"/>
      <c r="AW182" s="6"/>
      <c r="AX182" s="6"/>
      <c r="AY182" s="6"/>
      <c r="AZ182" s="6"/>
      <c r="BA182" s="6"/>
      <c r="BB182" s="6"/>
      <c r="BC182" s="7"/>
      <c r="BD182" s="6"/>
      <c r="BE182" s="6"/>
      <c r="BF182" s="6"/>
      <c r="BG182" s="6"/>
      <c r="BH182" s="6"/>
      <c r="BI182" s="6"/>
      <c r="BJ182" s="6"/>
      <c r="BK182" s="6"/>
      <c r="BL182" s="6"/>
      <c r="BM182" s="6"/>
    </row>
    <row r="183" spans="1:65" ht="21" customHeight="1">
      <c r="A183" s="87" t="s">
        <v>350</v>
      </c>
      <c r="B183" s="5"/>
      <c r="C183" s="5"/>
      <c r="D183" s="5"/>
      <c r="E183" s="5"/>
      <c r="F183" s="5"/>
      <c r="G183" s="6"/>
      <c r="H183" s="6"/>
      <c r="I183" s="6"/>
      <c r="J183" s="6"/>
      <c r="K183" s="6"/>
      <c r="L183" s="6"/>
      <c r="M183" s="6"/>
      <c r="N183" s="7"/>
      <c r="O183" s="6"/>
      <c r="P183" s="48"/>
      <c r="Q183" s="6"/>
      <c r="R183" s="6"/>
      <c r="S183" s="6"/>
      <c r="T183" s="6"/>
      <c r="U183" s="6"/>
      <c r="V183" s="6"/>
      <c r="W183" s="6"/>
      <c r="X183" s="6"/>
      <c r="Y183" s="6"/>
      <c r="Z183" s="6"/>
      <c r="AA183" s="6"/>
      <c r="AB183" s="6"/>
      <c r="AC183" s="6"/>
      <c r="AD183" s="6"/>
      <c r="AE183" s="6"/>
      <c r="AF183" s="6"/>
      <c r="AG183" s="6"/>
      <c r="AH183" s="6"/>
      <c r="AI183" s="6"/>
      <c r="AJ183" s="6"/>
      <c r="AK183" s="6"/>
      <c r="AL183" s="5"/>
      <c r="AM183" s="5"/>
      <c r="AN183" s="5"/>
      <c r="AO183" s="5"/>
      <c r="AP183" s="5"/>
      <c r="AQ183" s="5"/>
      <c r="AR183" s="5"/>
      <c r="AS183" s="6"/>
      <c r="AT183" s="6"/>
      <c r="AU183" s="6"/>
      <c r="AV183" s="6"/>
      <c r="AW183" s="6"/>
      <c r="AX183" s="6"/>
      <c r="AY183" s="6"/>
      <c r="AZ183" s="6"/>
      <c r="BA183" s="6"/>
      <c r="BB183" s="6"/>
      <c r="BC183" s="7"/>
      <c r="BD183" s="6"/>
      <c r="BE183" s="6"/>
      <c r="BF183" s="6"/>
      <c r="BG183" s="6"/>
      <c r="BH183" s="6"/>
      <c r="BI183" s="6"/>
      <c r="BJ183" s="6"/>
      <c r="BK183" s="6"/>
      <c r="BL183" s="6"/>
      <c r="BM183" s="6"/>
    </row>
    <row r="184" spans="1:65" ht="21" customHeight="1">
      <c r="A184" s="5"/>
      <c r="B184" s="5" t="s">
        <v>332</v>
      </c>
      <c r="C184" s="5"/>
      <c r="D184" s="5"/>
      <c r="E184" s="5"/>
      <c r="F184" s="5"/>
      <c r="G184" s="28">
        <v>137085639</v>
      </c>
      <c r="H184" s="28">
        <v>68549154</v>
      </c>
      <c r="I184" s="28">
        <v>6061761</v>
      </c>
      <c r="J184" s="28">
        <v>1354687</v>
      </c>
      <c r="K184" s="6"/>
      <c r="L184" s="6"/>
      <c r="M184" s="6"/>
      <c r="N184" s="7"/>
      <c r="O184" s="6"/>
      <c r="P184" s="48"/>
      <c r="Q184" s="6"/>
      <c r="R184" s="6"/>
      <c r="S184" s="6"/>
      <c r="T184" s="6"/>
      <c r="U184" s="6"/>
      <c r="V184" s="6"/>
      <c r="W184" s="6"/>
      <c r="X184" s="6"/>
      <c r="Y184" s="6"/>
      <c r="Z184" s="6"/>
      <c r="AA184" s="6"/>
      <c r="AB184" s="6"/>
      <c r="AC184" s="6"/>
      <c r="AD184" s="6"/>
      <c r="AE184" s="6"/>
      <c r="AF184" s="6"/>
      <c r="AG184" s="6"/>
      <c r="AH184" s="6"/>
      <c r="AI184" s="6"/>
      <c r="AJ184" s="6"/>
      <c r="AK184" s="6"/>
      <c r="AL184" s="5"/>
      <c r="AM184" s="5"/>
      <c r="AN184" s="5"/>
      <c r="AO184" s="5"/>
      <c r="AP184" s="5"/>
      <c r="AQ184" s="5"/>
      <c r="AR184" s="5"/>
      <c r="AS184" s="6"/>
      <c r="AT184" s="6"/>
      <c r="AU184" s="6"/>
      <c r="AV184" s="6"/>
      <c r="AW184" s="6"/>
      <c r="AX184" s="6"/>
      <c r="AY184" s="6"/>
      <c r="AZ184" s="6"/>
      <c r="BA184" s="6"/>
      <c r="BB184" s="6"/>
      <c r="BC184" s="7"/>
      <c r="BD184" s="6"/>
      <c r="BE184" s="6"/>
      <c r="BF184" s="6"/>
      <c r="BG184" s="6"/>
      <c r="BH184" s="6"/>
      <c r="BI184" s="6"/>
      <c r="BJ184" s="6"/>
      <c r="BK184" s="6"/>
      <c r="BL184" s="6"/>
      <c r="BM184" s="6"/>
    </row>
    <row r="185" spans="1:65" ht="21" customHeight="1">
      <c r="A185" s="5"/>
      <c r="B185" s="5"/>
      <c r="C185" s="5" t="s">
        <v>351</v>
      </c>
      <c r="D185" s="5"/>
      <c r="E185" s="5"/>
      <c r="F185" s="5"/>
      <c r="G185" s="6">
        <v>6522450</v>
      </c>
      <c r="H185" s="6">
        <v>9954490</v>
      </c>
      <c r="I185" s="6">
        <v>11500</v>
      </c>
      <c r="J185" s="6">
        <v>12540</v>
      </c>
      <c r="K185" s="6"/>
      <c r="L185" s="6"/>
      <c r="M185" s="6"/>
      <c r="N185" s="7"/>
      <c r="O185" s="6"/>
      <c r="P185" s="48"/>
      <c r="Q185" s="6"/>
      <c r="R185" s="6"/>
      <c r="S185" s="6"/>
      <c r="T185" s="6"/>
      <c r="U185" s="6"/>
      <c r="V185" s="6"/>
      <c r="W185" s="6"/>
      <c r="X185" s="6"/>
      <c r="Y185" s="6"/>
      <c r="Z185" s="6"/>
      <c r="AA185" s="6"/>
      <c r="AB185" s="6"/>
      <c r="AC185" s="6"/>
      <c r="AD185" s="6"/>
      <c r="AE185" s="6"/>
      <c r="AF185" s="6"/>
      <c r="AG185" s="6"/>
      <c r="AH185" s="6"/>
      <c r="AI185" s="6"/>
      <c r="AJ185" s="6"/>
      <c r="AK185" s="6"/>
      <c r="AL185" s="5"/>
      <c r="AM185" s="5"/>
      <c r="AN185" s="5"/>
      <c r="AO185" s="5"/>
      <c r="AP185" s="5"/>
      <c r="AQ185" s="5"/>
      <c r="AR185" s="5"/>
      <c r="AS185" s="6"/>
      <c r="AT185" s="6"/>
      <c r="AU185" s="6"/>
      <c r="AV185" s="6"/>
      <c r="AW185" s="6"/>
      <c r="AX185" s="6"/>
      <c r="AY185" s="6"/>
      <c r="AZ185" s="6"/>
      <c r="BA185" s="6"/>
      <c r="BB185" s="6"/>
      <c r="BC185" s="7"/>
      <c r="BD185" s="6"/>
      <c r="BE185" s="6"/>
      <c r="BF185" s="6"/>
      <c r="BG185" s="6"/>
      <c r="BH185" s="6"/>
      <c r="BI185" s="6"/>
      <c r="BJ185" s="6"/>
      <c r="BK185" s="6"/>
      <c r="BL185" s="6"/>
      <c r="BM185" s="6"/>
    </row>
    <row r="186" spans="1:65" ht="21" customHeight="1">
      <c r="A186" s="5"/>
      <c r="B186" s="5"/>
      <c r="C186" s="5" t="s">
        <v>352</v>
      </c>
      <c r="D186" s="5"/>
      <c r="E186" s="5"/>
      <c r="F186" s="5"/>
      <c r="G186" s="6">
        <v>130449000</v>
      </c>
      <c r="H186" s="6">
        <v>58329000</v>
      </c>
      <c r="I186" s="6"/>
      <c r="J186" s="6"/>
      <c r="K186" s="6"/>
      <c r="L186" s="6"/>
      <c r="M186" s="6"/>
      <c r="N186" s="7"/>
      <c r="O186" s="6"/>
      <c r="P186" s="48"/>
      <c r="Q186" s="6"/>
      <c r="R186" s="6"/>
      <c r="S186" s="6"/>
      <c r="T186" s="6"/>
      <c r="U186" s="6"/>
      <c r="V186" s="6"/>
      <c r="W186" s="6"/>
      <c r="X186" s="6"/>
      <c r="Y186" s="6"/>
      <c r="Z186" s="6"/>
      <c r="AA186" s="6"/>
      <c r="AB186" s="6"/>
      <c r="AC186" s="6"/>
      <c r="AD186" s="6"/>
      <c r="AE186" s="6"/>
      <c r="AF186" s="6"/>
      <c r="AG186" s="6"/>
      <c r="AH186" s="6"/>
      <c r="AI186" s="6"/>
      <c r="AJ186" s="6"/>
      <c r="AK186" s="6"/>
      <c r="AL186" s="5"/>
      <c r="AM186" s="5"/>
      <c r="AN186" s="5"/>
      <c r="AO186" s="5"/>
      <c r="AP186" s="5"/>
      <c r="AQ186" s="5"/>
      <c r="AR186" s="5"/>
      <c r="AS186" s="6"/>
      <c r="AT186" s="6"/>
      <c r="AU186" s="6"/>
      <c r="AV186" s="6"/>
      <c r="AW186" s="6"/>
      <c r="AX186" s="6"/>
      <c r="AY186" s="6"/>
      <c r="AZ186" s="6"/>
      <c r="BA186" s="6"/>
      <c r="BB186" s="6"/>
      <c r="BC186" s="7"/>
      <c r="BD186" s="6"/>
      <c r="BE186" s="6"/>
      <c r="BF186" s="6"/>
      <c r="BG186" s="6"/>
      <c r="BH186" s="6"/>
      <c r="BI186" s="6"/>
      <c r="BJ186" s="6"/>
      <c r="BK186" s="6"/>
      <c r="BL186" s="6"/>
      <c r="BM186" s="6"/>
    </row>
    <row r="187" spans="1:65" ht="21" customHeight="1">
      <c r="A187" s="5"/>
      <c r="B187" s="5"/>
      <c r="C187" s="90" t="s">
        <v>339</v>
      </c>
      <c r="D187" s="90"/>
      <c r="E187" s="90"/>
      <c r="F187" s="90"/>
      <c r="G187" s="6"/>
      <c r="H187" s="6"/>
      <c r="I187" s="86">
        <v>4000000</v>
      </c>
      <c r="J187" s="6"/>
      <c r="K187" s="6"/>
      <c r="L187" s="6"/>
      <c r="M187" s="6"/>
      <c r="N187" s="7"/>
      <c r="O187" s="6"/>
      <c r="P187" s="48"/>
      <c r="Q187" s="6"/>
      <c r="R187" s="6"/>
      <c r="S187" s="6"/>
      <c r="T187" s="6"/>
      <c r="U187" s="6"/>
      <c r="V187" s="6"/>
      <c r="W187" s="6"/>
      <c r="X187" s="6"/>
      <c r="Y187" s="6"/>
      <c r="Z187" s="6"/>
      <c r="AA187" s="6"/>
      <c r="AB187" s="6"/>
      <c r="AC187" s="6"/>
      <c r="AD187" s="6"/>
      <c r="AE187" s="6"/>
      <c r="AF187" s="6"/>
      <c r="AG187" s="6"/>
      <c r="AH187" s="6"/>
      <c r="AI187" s="6"/>
      <c r="AJ187" s="6"/>
      <c r="AK187" s="6"/>
      <c r="AL187" s="5"/>
      <c r="AM187" s="5"/>
      <c r="AN187" s="5"/>
      <c r="AO187" s="5"/>
      <c r="AP187" s="5"/>
      <c r="AQ187" s="5"/>
      <c r="AR187" s="5"/>
      <c r="AS187" s="6"/>
      <c r="AT187" s="6"/>
      <c r="AU187" s="6"/>
      <c r="AV187" s="6"/>
      <c r="AW187" s="6"/>
      <c r="AX187" s="6"/>
      <c r="AY187" s="6"/>
      <c r="AZ187" s="6"/>
      <c r="BA187" s="6"/>
      <c r="BB187" s="6"/>
      <c r="BC187" s="7"/>
      <c r="BD187" s="6"/>
      <c r="BE187" s="6"/>
      <c r="BF187" s="6"/>
      <c r="BG187" s="6"/>
      <c r="BH187" s="6"/>
      <c r="BI187" s="6"/>
      <c r="BJ187" s="6"/>
      <c r="BK187" s="6"/>
      <c r="BL187" s="6"/>
      <c r="BM187" s="6"/>
    </row>
    <row r="188" spans="1:65" ht="21" customHeight="1">
      <c r="A188" s="5"/>
      <c r="B188" s="5"/>
      <c r="C188" s="5" t="s">
        <v>353</v>
      </c>
      <c r="D188" s="5"/>
      <c r="E188" s="5"/>
      <c r="F188" s="5"/>
      <c r="G188" s="6"/>
      <c r="H188" s="6">
        <v>100000</v>
      </c>
      <c r="I188" s="6">
        <v>1810000</v>
      </c>
      <c r="J188" s="6">
        <v>5000</v>
      </c>
      <c r="K188" s="6"/>
      <c r="L188" s="6"/>
      <c r="M188" s="6"/>
      <c r="N188" s="7"/>
      <c r="O188" s="6"/>
      <c r="P188" s="48"/>
      <c r="Q188" s="6"/>
      <c r="R188" s="6"/>
      <c r="S188" s="6"/>
      <c r="T188" s="6"/>
      <c r="U188" s="6"/>
      <c r="V188" s="6"/>
      <c r="W188" s="6"/>
      <c r="X188" s="6"/>
      <c r="Y188" s="6"/>
      <c r="Z188" s="6"/>
      <c r="AA188" s="6"/>
      <c r="AB188" s="6"/>
      <c r="AC188" s="6"/>
      <c r="AD188" s="6"/>
      <c r="AE188" s="6"/>
      <c r="AF188" s="6"/>
      <c r="AG188" s="6"/>
      <c r="AH188" s="6"/>
      <c r="AI188" s="6"/>
      <c r="AJ188" s="6"/>
      <c r="AK188" s="6"/>
      <c r="AL188" s="5"/>
      <c r="AM188" s="5"/>
      <c r="AN188" s="5"/>
      <c r="AO188" s="5"/>
      <c r="AP188" s="5"/>
      <c r="AQ188" s="5"/>
      <c r="AR188" s="5"/>
      <c r="AS188" s="6"/>
      <c r="AT188" s="6"/>
      <c r="AU188" s="6"/>
      <c r="AV188" s="6"/>
      <c r="AW188" s="6"/>
      <c r="AX188" s="6"/>
      <c r="AY188" s="6"/>
      <c r="AZ188" s="6"/>
      <c r="BA188" s="6"/>
      <c r="BB188" s="6"/>
      <c r="BC188" s="7"/>
      <c r="BD188" s="6"/>
      <c r="BE188" s="6"/>
      <c r="BF188" s="6"/>
      <c r="BG188" s="6"/>
      <c r="BH188" s="6"/>
      <c r="BI188" s="6"/>
      <c r="BJ188" s="6"/>
      <c r="BK188" s="6"/>
      <c r="BL188" s="6"/>
      <c r="BM188" s="6"/>
    </row>
    <row r="189" spans="1:65" ht="21" customHeight="1">
      <c r="A189" s="5"/>
      <c r="B189" s="5"/>
      <c r="C189" s="5" t="s">
        <v>338</v>
      </c>
      <c r="D189" s="5"/>
      <c r="E189" s="5"/>
      <c r="F189" s="5"/>
      <c r="G189" s="6">
        <v>114189</v>
      </c>
      <c r="H189" s="6">
        <v>165664</v>
      </c>
      <c r="I189" s="6">
        <v>45056</v>
      </c>
      <c r="J189" s="6">
        <v>2495</v>
      </c>
      <c r="K189" s="6"/>
      <c r="L189" s="6"/>
      <c r="M189" s="6"/>
      <c r="N189" s="7"/>
      <c r="O189" s="6"/>
      <c r="P189" s="48"/>
      <c r="Q189" s="6"/>
      <c r="R189" s="6"/>
      <c r="S189" s="6"/>
      <c r="T189" s="6"/>
      <c r="U189" s="6"/>
      <c r="V189" s="6"/>
      <c r="W189" s="6"/>
      <c r="X189" s="6"/>
      <c r="Y189" s="6"/>
      <c r="Z189" s="6"/>
      <c r="AA189" s="6"/>
      <c r="AB189" s="6"/>
      <c r="AC189" s="6"/>
      <c r="AD189" s="6"/>
      <c r="AE189" s="6"/>
      <c r="AF189" s="6"/>
      <c r="AG189" s="6"/>
      <c r="AH189" s="6"/>
      <c r="AI189" s="6"/>
      <c r="AJ189" s="6"/>
      <c r="AK189" s="6"/>
      <c r="AL189" s="5"/>
      <c r="AM189" s="5"/>
      <c r="AN189" s="5"/>
      <c r="AO189" s="5"/>
      <c r="AP189" s="5"/>
      <c r="AQ189" s="5"/>
      <c r="AR189" s="5"/>
      <c r="AS189" s="6"/>
      <c r="AT189" s="6"/>
      <c r="AU189" s="6"/>
      <c r="AV189" s="6"/>
      <c r="AW189" s="6"/>
      <c r="AX189" s="6"/>
      <c r="AY189" s="6"/>
      <c r="AZ189" s="6"/>
      <c r="BA189" s="6"/>
      <c r="BB189" s="6"/>
      <c r="BC189" s="7"/>
      <c r="BD189" s="6"/>
      <c r="BE189" s="6"/>
      <c r="BF189" s="6"/>
      <c r="BG189" s="6"/>
      <c r="BH189" s="6"/>
      <c r="BI189" s="6"/>
      <c r="BJ189" s="6"/>
      <c r="BK189" s="6"/>
      <c r="BL189" s="6"/>
      <c r="BM189" s="6"/>
    </row>
    <row r="190" spans="1:65" ht="21" customHeight="1">
      <c r="A190" s="5"/>
      <c r="B190" s="5"/>
      <c r="C190" s="5" t="s">
        <v>335</v>
      </c>
      <c r="D190" s="5"/>
      <c r="E190" s="5"/>
      <c r="F190" s="5"/>
      <c r="G190" s="6"/>
      <c r="H190" s="6"/>
      <c r="I190" s="6">
        <v>195205</v>
      </c>
      <c r="J190" s="6">
        <v>1334652</v>
      </c>
      <c r="K190" s="6"/>
      <c r="L190" s="6"/>
      <c r="M190" s="6"/>
      <c r="N190" s="7"/>
      <c r="O190" s="6"/>
      <c r="P190" s="48"/>
      <c r="Q190" s="6"/>
      <c r="R190" s="6"/>
      <c r="S190" s="6"/>
      <c r="T190" s="6"/>
      <c r="U190" s="6"/>
      <c r="V190" s="6"/>
      <c r="W190" s="6"/>
      <c r="X190" s="6"/>
      <c r="Y190" s="6"/>
      <c r="Z190" s="6"/>
      <c r="AA190" s="6"/>
      <c r="AB190" s="6"/>
      <c r="AC190" s="6"/>
      <c r="AD190" s="6"/>
      <c r="AE190" s="6"/>
      <c r="AF190" s="6"/>
      <c r="AG190" s="6"/>
      <c r="AH190" s="6"/>
      <c r="AI190" s="6"/>
      <c r="AJ190" s="6"/>
      <c r="AK190" s="6"/>
      <c r="AL190" s="5"/>
      <c r="AM190" s="5"/>
      <c r="AN190" s="5"/>
      <c r="AO190" s="5"/>
      <c r="AP190" s="5"/>
      <c r="AQ190" s="5"/>
      <c r="AR190" s="5"/>
      <c r="AS190" s="6"/>
      <c r="AT190" s="6"/>
      <c r="AU190" s="6"/>
      <c r="AV190" s="6"/>
      <c r="AW190" s="6"/>
      <c r="AX190" s="6"/>
      <c r="AY190" s="6"/>
      <c r="AZ190" s="6"/>
      <c r="BA190" s="6"/>
      <c r="BB190" s="6"/>
      <c r="BC190" s="7"/>
      <c r="BD190" s="6"/>
      <c r="BE190" s="6"/>
      <c r="BF190" s="6"/>
      <c r="BG190" s="6"/>
      <c r="BH190" s="6"/>
      <c r="BI190" s="6"/>
      <c r="BJ190" s="6"/>
      <c r="BK190" s="6"/>
      <c r="BL190" s="6"/>
      <c r="BM190" s="6"/>
    </row>
    <row r="191" spans="1:65" ht="21" customHeight="1">
      <c r="A191" s="5"/>
      <c r="B191" s="5"/>
      <c r="C191" s="5"/>
      <c r="D191" s="5"/>
      <c r="E191" s="5"/>
      <c r="F191" s="5"/>
      <c r="G191" s="6"/>
      <c r="H191" s="6"/>
      <c r="I191" s="6"/>
      <c r="J191" s="6"/>
      <c r="K191" s="6"/>
      <c r="L191" s="6"/>
      <c r="M191" s="6"/>
      <c r="N191" s="7"/>
      <c r="O191" s="6"/>
      <c r="P191" s="48"/>
      <c r="Q191" s="6"/>
      <c r="R191" s="6"/>
      <c r="S191" s="6"/>
      <c r="T191" s="6"/>
      <c r="U191" s="6"/>
      <c r="V191" s="6"/>
      <c r="W191" s="6"/>
      <c r="X191" s="6"/>
      <c r="Y191" s="6"/>
      <c r="Z191" s="6"/>
      <c r="AA191" s="6"/>
      <c r="AB191" s="6"/>
      <c r="AC191" s="6"/>
      <c r="AD191" s="6"/>
      <c r="AE191" s="6"/>
      <c r="AF191" s="6"/>
      <c r="AG191" s="6"/>
      <c r="AH191" s="6"/>
      <c r="AI191" s="6"/>
      <c r="AJ191" s="6"/>
      <c r="AK191" s="6"/>
      <c r="AL191" s="5"/>
      <c r="AM191" s="5"/>
      <c r="AN191" s="5"/>
      <c r="AO191" s="5"/>
      <c r="AP191" s="5"/>
      <c r="AQ191" s="5"/>
      <c r="AR191" s="5"/>
      <c r="AS191" s="6"/>
      <c r="AT191" s="6"/>
      <c r="AU191" s="6"/>
      <c r="AV191" s="6"/>
      <c r="AW191" s="6"/>
      <c r="AX191" s="6"/>
      <c r="AY191" s="6"/>
      <c r="AZ191" s="6"/>
      <c r="BA191" s="6"/>
      <c r="BB191" s="6"/>
      <c r="BC191" s="7"/>
      <c r="BD191" s="6"/>
      <c r="BE191" s="6"/>
      <c r="BF191" s="6"/>
      <c r="BG191" s="6"/>
      <c r="BH191" s="6"/>
      <c r="BI191" s="6"/>
      <c r="BJ191" s="6"/>
      <c r="BK191" s="6"/>
      <c r="BL191" s="6"/>
      <c r="BM191" s="6"/>
    </row>
    <row r="192" spans="1:65" ht="21" customHeight="1">
      <c r="A192" s="87" t="s">
        <v>354</v>
      </c>
      <c r="B192" s="5"/>
      <c r="C192" s="5"/>
      <c r="D192" s="5"/>
      <c r="E192" s="5"/>
      <c r="F192" s="5"/>
      <c r="G192" s="6"/>
      <c r="H192" s="6"/>
      <c r="I192" s="6"/>
      <c r="J192" s="6"/>
      <c r="K192" s="6"/>
      <c r="L192" s="6"/>
      <c r="M192" s="6"/>
      <c r="N192" s="7"/>
      <c r="O192" s="6"/>
      <c r="P192" s="48"/>
      <c r="Q192" s="6"/>
      <c r="R192" s="6"/>
      <c r="S192" s="6"/>
      <c r="T192" s="6"/>
      <c r="U192" s="6"/>
      <c r="V192" s="6"/>
      <c r="W192" s="6"/>
      <c r="X192" s="6"/>
      <c r="Y192" s="6"/>
      <c r="Z192" s="6"/>
      <c r="AA192" s="6"/>
      <c r="AB192" s="6"/>
      <c r="AC192" s="6"/>
      <c r="AD192" s="6"/>
      <c r="AE192" s="6"/>
      <c r="AF192" s="6"/>
      <c r="AG192" s="6"/>
      <c r="AH192" s="6"/>
      <c r="AI192" s="6"/>
      <c r="AJ192" s="6"/>
      <c r="AK192" s="6"/>
      <c r="AL192" s="5"/>
      <c r="AM192" s="5"/>
      <c r="AN192" s="5"/>
      <c r="AO192" s="5"/>
      <c r="AP192" s="5"/>
      <c r="AQ192" s="5"/>
      <c r="AR192" s="5"/>
      <c r="AS192" s="6"/>
      <c r="AT192" s="6"/>
      <c r="AU192" s="6"/>
      <c r="AV192" s="6"/>
      <c r="AW192" s="6"/>
      <c r="AX192" s="6"/>
      <c r="AY192" s="6"/>
      <c r="AZ192" s="6"/>
      <c r="BA192" s="6"/>
      <c r="BB192" s="6"/>
      <c r="BC192" s="7"/>
      <c r="BD192" s="6"/>
      <c r="BE192" s="6"/>
      <c r="BF192" s="6"/>
      <c r="BG192" s="6"/>
      <c r="BH192" s="6"/>
      <c r="BI192" s="6"/>
      <c r="BJ192" s="6"/>
      <c r="BK192" s="6"/>
      <c r="BL192" s="6"/>
      <c r="BM192" s="6"/>
    </row>
    <row r="193" spans="1:65" ht="21" customHeight="1">
      <c r="A193" s="5"/>
      <c r="B193" s="5" t="s">
        <v>332</v>
      </c>
      <c r="C193" s="5"/>
      <c r="D193" s="5"/>
      <c r="E193" s="5"/>
      <c r="F193" s="5"/>
      <c r="G193" s="6"/>
      <c r="H193" s="28">
        <v>1974288</v>
      </c>
      <c r="I193" s="28">
        <v>2569468</v>
      </c>
      <c r="J193" s="28">
        <v>3151346</v>
      </c>
      <c r="K193" s="28">
        <v>3795642</v>
      </c>
      <c r="L193" s="28">
        <v>3566902</v>
      </c>
      <c r="M193" s="28">
        <v>3124382</v>
      </c>
      <c r="N193" s="29">
        <v>4809623</v>
      </c>
      <c r="O193" s="28">
        <v>2524930</v>
      </c>
      <c r="P193" s="48"/>
      <c r="Q193" s="6"/>
      <c r="R193" s="6"/>
      <c r="S193" s="6"/>
      <c r="T193" s="6"/>
      <c r="U193" s="6"/>
      <c r="V193" s="6"/>
      <c r="W193" s="6"/>
      <c r="X193" s="6"/>
      <c r="Y193" s="6"/>
      <c r="Z193" s="6"/>
      <c r="AA193" s="6"/>
      <c r="AB193" s="6"/>
      <c r="AC193" s="6"/>
      <c r="AD193" s="6"/>
      <c r="AE193" s="6"/>
      <c r="AF193" s="6"/>
      <c r="AG193" s="6"/>
      <c r="AH193" s="6"/>
      <c r="AI193" s="6"/>
      <c r="AJ193" s="6"/>
      <c r="AK193" s="6"/>
      <c r="AL193" s="5"/>
      <c r="AM193" s="5"/>
      <c r="AN193" s="5"/>
      <c r="AO193" s="5"/>
      <c r="AP193" s="5"/>
      <c r="AQ193" s="5"/>
      <c r="AR193" s="5"/>
      <c r="AS193" s="6"/>
      <c r="AT193" s="6"/>
      <c r="AU193" s="6"/>
      <c r="AV193" s="6"/>
      <c r="AW193" s="6"/>
      <c r="AX193" s="6"/>
      <c r="AY193" s="6"/>
      <c r="AZ193" s="6"/>
      <c r="BA193" s="6"/>
      <c r="BB193" s="6"/>
      <c r="BC193" s="7"/>
      <c r="BD193" s="6"/>
      <c r="BE193" s="6"/>
      <c r="BF193" s="6"/>
      <c r="BG193" s="6"/>
      <c r="BH193" s="6"/>
      <c r="BI193" s="6"/>
      <c r="BJ193" s="6"/>
      <c r="BK193" s="6"/>
      <c r="BL193" s="6"/>
      <c r="BM193" s="6"/>
    </row>
    <row r="194" spans="1:65" ht="21" customHeight="1">
      <c r="A194" s="5"/>
      <c r="B194" s="5"/>
      <c r="C194" s="5" t="s">
        <v>355</v>
      </c>
      <c r="D194" s="5"/>
      <c r="E194" s="5"/>
      <c r="F194" s="5"/>
      <c r="G194" s="6"/>
      <c r="H194" s="6">
        <v>54000</v>
      </c>
      <c r="I194" s="6">
        <v>237500</v>
      </c>
      <c r="J194" s="6">
        <v>495650</v>
      </c>
      <c r="K194" s="6">
        <v>851570</v>
      </c>
      <c r="L194" s="6">
        <v>566072</v>
      </c>
      <c r="M194" s="6">
        <v>454464</v>
      </c>
      <c r="N194" s="7">
        <v>728808</v>
      </c>
      <c r="O194" s="6">
        <v>347700</v>
      </c>
      <c r="P194" s="48"/>
      <c r="Q194" s="6"/>
      <c r="R194" s="6"/>
      <c r="S194" s="6"/>
      <c r="T194" s="6"/>
      <c r="U194" s="6"/>
      <c r="V194" s="6"/>
      <c r="W194" s="6"/>
      <c r="X194" s="6"/>
      <c r="Y194" s="6"/>
      <c r="Z194" s="6"/>
      <c r="AA194" s="6"/>
      <c r="AB194" s="6"/>
      <c r="AC194" s="6"/>
      <c r="AD194" s="6"/>
      <c r="AE194" s="6"/>
      <c r="AF194" s="6"/>
      <c r="AG194" s="6"/>
      <c r="AH194" s="6"/>
      <c r="AI194" s="6"/>
      <c r="AJ194" s="6"/>
      <c r="AK194" s="6"/>
      <c r="AL194" s="5"/>
      <c r="AM194" s="5"/>
      <c r="AN194" s="5"/>
      <c r="AO194" s="5"/>
      <c r="AP194" s="5"/>
      <c r="AQ194" s="5"/>
      <c r="AR194" s="5"/>
      <c r="AS194" s="6"/>
      <c r="AT194" s="6"/>
      <c r="AU194" s="6"/>
      <c r="AV194" s="6"/>
      <c r="AW194" s="6"/>
      <c r="AX194" s="6"/>
      <c r="AY194" s="6"/>
      <c r="AZ194" s="6"/>
      <c r="BA194" s="6"/>
      <c r="BB194" s="6"/>
      <c r="BC194" s="7"/>
      <c r="BD194" s="6"/>
      <c r="BE194" s="6"/>
      <c r="BF194" s="6"/>
      <c r="BG194" s="6"/>
      <c r="BH194" s="6"/>
      <c r="BI194" s="6"/>
      <c r="BJ194" s="6"/>
      <c r="BK194" s="6"/>
      <c r="BL194" s="6"/>
      <c r="BM194" s="6"/>
    </row>
    <row r="195" spans="1:65" ht="21" customHeight="1">
      <c r="A195" s="5"/>
      <c r="B195" s="5"/>
      <c r="C195" s="5" t="s">
        <v>0</v>
      </c>
      <c r="D195" s="5"/>
      <c r="E195" s="5"/>
      <c r="F195" s="5"/>
      <c r="G195" s="6"/>
      <c r="H195" s="6"/>
      <c r="I195" s="6"/>
      <c r="J195" s="6"/>
      <c r="K195" s="6"/>
      <c r="L195" s="6"/>
      <c r="M195" s="6"/>
      <c r="N195" s="7">
        <v>1500000</v>
      </c>
      <c r="O195" s="6">
        <v>150000</v>
      </c>
      <c r="P195" s="48"/>
      <c r="Q195" s="6"/>
      <c r="R195" s="6"/>
      <c r="S195" s="6"/>
      <c r="T195" s="6"/>
      <c r="U195" s="6"/>
      <c r="V195" s="6"/>
      <c r="W195" s="6"/>
      <c r="X195" s="6"/>
      <c r="Y195" s="6"/>
      <c r="Z195" s="6"/>
      <c r="AA195" s="6"/>
      <c r="AB195" s="6"/>
      <c r="AC195" s="6"/>
      <c r="AD195" s="6"/>
      <c r="AE195" s="6"/>
      <c r="AF195" s="6"/>
      <c r="AG195" s="6"/>
      <c r="AH195" s="6"/>
      <c r="AI195" s="6"/>
      <c r="AJ195" s="6"/>
      <c r="AK195" s="6"/>
      <c r="AL195" s="5"/>
      <c r="AM195" s="5"/>
      <c r="AN195" s="5"/>
      <c r="AO195" s="5"/>
      <c r="AP195" s="5"/>
      <c r="AQ195" s="5"/>
      <c r="AR195" s="5"/>
      <c r="AS195" s="6"/>
      <c r="AT195" s="6"/>
      <c r="AU195" s="6"/>
      <c r="AV195" s="6"/>
      <c r="AW195" s="6"/>
      <c r="AX195" s="6"/>
      <c r="AY195" s="6"/>
      <c r="AZ195" s="6"/>
      <c r="BA195" s="6"/>
      <c r="BB195" s="6"/>
      <c r="BC195" s="7"/>
      <c r="BD195" s="6"/>
      <c r="BE195" s="6"/>
      <c r="BF195" s="6"/>
      <c r="BG195" s="6"/>
      <c r="BH195" s="6"/>
      <c r="BI195" s="6"/>
      <c r="BJ195" s="6"/>
      <c r="BK195" s="6"/>
      <c r="BL195" s="6"/>
      <c r="BM195" s="6"/>
    </row>
    <row r="196" spans="1:65" ht="21" customHeight="1">
      <c r="A196" s="5"/>
      <c r="B196" s="5"/>
      <c r="C196" s="5" t="s">
        <v>1</v>
      </c>
      <c r="D196" s="5"/>
      <c r="E196" s="5"/>
      <c r="F196" s="5"/>
      <c r="G196" s="6"/>
      <c r="H196" s="6">
        <v>16740</v>
      </c>
      <c r="I196" s="6">
        <v>13981</v>
      </c>
      <c r="J196" s="6">
        <v>16153</v>
      </c>
      <c r="K196" s="6"/>
      <c r="L196" s="6"/>
      <c r="M196" s="6"/>
      <c r="N196" s="7"/>
      <c r="O196" s="6"/>
      <c r="P196" s="48"/>
      <c r="Q196" s="6"/>
      <c r="R196" s="6"/>
      <c r="S196" s="6"/>
      <c r="T196" s="6"/>
      <c r="U196" s="6"/>
      <c r="V196" s="6"/>
      <c r="W196" s="6"/>
      <c r="X196" s="6"/>
      <c r="Y196" s="6"/>
      <c r="Z196" s="6"/>
      <c r="AA196" s="6"/>
      <c r="AB196" s="6"/>
      <c r="AC196" s="6"/>
      <c r="AD196" s="6"/>
      <c r="AE196" s="6"/>
      <c r="AF196" s="6"/>
      <c r="AG196" s="6"/>
      <c r="AH196" s="6"/>
      <c r="AI196" s="6"/>
      <c r="AJ196" s="6"/>
      <c r="AK196" s="6"/>
      <c r="AL196" s="5"/>
      <c r="AM196" s="5"/>
      <c r="AN196" s="5"/>
      <c r="AO196" s="5"/>
      <c r="AP196" s="5"/>
      <c r="AQ196" s="5"/>
      <c r="AR196" s="5"/>
      <c r="AS196" s="6"/>
      <c r="AT196" s="6"/>
      <c r="AU196" s="6"/>
      <c r="AV196" s="6"/>
      <c r="AW196" s="6"/>
      <c r="AX196" s="6"/>
      <c r="AY196" s="6"/>
      <c r="AZ196" s="6"/>
      <c r="BA196" s="6"/>
      <c r="BB196" s="6"/>
      <c r="BC196" s="7"/>
      <c r="BD196" s="6"/>
      <c r="BE196" s="6"/>
      <c r="BF196" s="6"/>
      <c r="BG196" s="6"/>
      <c r="BH196" s="6"/>
      <c r="BI196" s="6"/>
      <c r="BJ196" s="6"/>
      <c r="BK196" s="6"/>
      <c r="BL196" s="6"/>
      <c r="BM196" s="6"/>
    </row>
    <row r="197" spans="1:65" ht="21" customHeight="1">
      <c r="A197" s="5"/>
      <c r="B197" s="5"/>
      <c r="C197" s="5" t="s">
        <v>338</v>
      </c>
      <c r="D197" s="5"/>
      <c r="E197" s="5"/>
      <c r="F197" s="5"/>
      <c r="G197" s="6"/>
      <c r="H197" s="6">
        <v>3183</v>
      </c>
      <c r="I197" s="6">
        <v>5192</v>
      </c>
      <c r="J197" s="6">
        <v>6379</v>
      </c>
      <c r="K197" s="6">
        <v>31262</v>
      </c>
      <c r="L197" s="6">
        <v>34417</v>
      </c>
      <c r="M197" s="6">
        <v>45710</v>
      </c>
      <c r="N197" s="7">
        <v>58120</v>
      </c>
      <c r="O197" s="6">
        <v>19021</v>
      </c>
      <c r="P197" s="48"/>
      <c r="Q197" s="6"/>
      <c r="R197" s="6"/>
      <c r="S197" s="6"/>
      <c r="T197" s="6"/>
      <c r="U197" s="6"/>
      <c r="V197" s="6"/>
      <c r="W197" s="6"/>
      <c r="X197" s="6"/>
      <c r="Y197" s="6"/>
      <c r="Z197" s="6"/>
      <c r="AA197" s="6"/>
      <c r="AB197" s="6"/>
      <c r="AC197" s="6"/>
      <c r="AD197" s="6"/>
      <c r="AE197" s="6"/>
      <c r="AF197" s="6"/>
      <c r="AG197" s="6"/>
      <c r="AH197" s="6"/>
      <c r="AI197" s="6"/>
      <c r="AJ197" s="6"/>
      <c r="AK197" s="6"/>
      <c r="AL197" s="5"/>
      <c r="AM197" s="5"/>
      <c r="AN197" s="5"/>
      <c r="AO197" s="5"/>
      <c r="AP197" s="5"/>
      <c r="AQ197" s="5"/>
      <c r="AR197" s="5"/>
      <c r="AS197" s="6"/>
      <c r="AT197" s="6"/>
      <c r="AU197" s="6"/>
      <c r="AV197" s="6"/>
      <c r="AW197" s="6"/>
      <c r="AX197" s="6"/>
      <c r="AY197" s="6"/>
      <c r="AZ197" s="6"/>
      <c r="BA197" s="6"/>
      <c r="BB197" s="6"/>
      <c r="BC197" s="7"/>
      <c r="BD197" s="6"/>
      <c r="BE197" s="6"/>
      <c r="BF197" s="6"/>
      <c r="BG197" s="6"/>
      <c r="BH197" s="6"/>
      <c r="BI197" s="6"/>
      <c r="BJ197" s="6"/>
      <c r="BK197" s="6"/>
      <c r="BL197" s="6"/>
      <c r="BM197" s="6"/>
    </row>
    <row r="198" spans="1:65" ht="21" customHeight="1">
      <c r="A198" s="5"/>
      <c r="B198" s="5"/>
      <c r="C198" s="5" t="s">
        <v>335</v>
      </c>
      <c r="D198" s="5"/>
      <c r="E198" s="5"/>
      <c r="F198" s="5"/>
      <c r="G198" s="6"/>
      <c r="H198" s="6">
        <v>1900365</v>
      </c>
      <c r="I198" s="6">
        <v>2312795</v>
      </c>
      <c r="J198" s="6">
        <v>2633164</v>
      </c>
      <c r="K198" s="6">
        <v>2912810</v>
      </c>
      <c r="L198" s="6">
        <v>2966413</v>
      </c>
      <c r="M198" s="6">
        <v>2624208</v>
      </c>
      <c r="N198" s="7">
        <v>2522695</v>
      </c>
      <c r="O198" s="6">
        <v>2008209</v>
      </c>
      <c r="P198" s="48"/>
      <c r="Q198" s="6"/>
      <c r="R198" s="6"/>
      <c r="S198" s="6"/>
      <c r="T198" s="6"/>
      <c r="U198" s="6"/>
      <c r="V198" s="6"/>
      <c r="W198" s="6"/>
      <c r="X198" s="6"/>
      <c r="Y198" s="6"/>
      <c r="Z198" s="6"/>
      <c r="AA198" s="6"/>
      <c r="AB198" s="6"/>
      <c r="AC198" s="6"/>
      <c r="AD198" s="6"/>
      <c r="AE198" s="6"/>
      <c r="AF198" s="6"/>
      <c r="AG198" s="6"/>
      <c r="AH198" s="6"/>
      <c r="AI198" s="6"/>
      <c r="AJ198" s="6"/>
      <c r="AK198" s="6"/>
      <c r="AL198" s="5"/>
      <c r="AM198" s="5"/>
      <c r="AN198" s="5"/>
      <c r="AO198" s="5"/>
      <c r="AP198" s="5"/>
      <c r="AQ198" s="5"/>
      <c r="AR198" s="5"/>
      <c r="AS198" s="6"/>
      <c r="AT198" s="6"/>
      <c r="AU198" s="6"/>
      <c r="AV198" s="6"/>
      <c r="AW198" s="6"/>
      <c r="AX198" s="6"/>
      <c r="AY198" s="6"/>
      <c r="AZ198" s="6"/>
      <c r="BA198" s="6"/>
      <c r="BB198" s="6"/>
      <c r="BC198" s="7"/>
      <c r="BD198" s="6"/>
      <c r="BE198" s="6"/>
      <c r="BF198" s="6"/>
      <c r="BG198" s="6"/>
      <c r="BH198" s="6"/>
      <c r="BI198" s="6"/>
      <c r="BJ198" s="6"/>
      <c r="BK198" s="6"/>
      <c r="BL198" s="6"/>
      <c r="BM198" s="6"/>
    </row>
    <row r="199" spans="1:65" ht="21" customHeight="1">
      <c r="A199" s="5"/>
      <c r="B199" s="5"/>
      <c r="C199" s="5"/>
      <c r="D199" s="5"/>
      <c r="E199" s="5"/>
      <c r="F199" s="5"/>
      <c r="G199" s="6"/>
      <c r="H199" s="6"/>
      <c r="I199" s="6"/>
      <c r="J199" s="6"/>
      <c r="K199" s="6"/>
      <c r="L199" s="6"/>
      <c r="M199" s="6"/>
      <c r="N199" s="7"/>
      <c r="O199" s="6"/>
      <c r="P199" s="48"/>
      <c r="Q199" s="6"/>
      <c r="R199" s="6"/>
      <c r="S199" s="6"/>
      <c r="T199" s="6"/>
      <c r="U199" s="6"/>
      <c r="V199" s="6"/>
      <c r="W199" s="6"/>
      <c r="X199" s="6"/>
      <c r="Y199" s="6"/>
      <c r="Z199" s="6"/>
      <c r="AA199" s="6"/>
      <c r="AB199" s="6"/>
      <c r="AC199" s="6"/>
      <c r="AD199" s="6"/>
      <c r="AE199" s="6"/>
      <c r="AF199" s="6"/>
      <c r="AG199" s="6"/>
      <c r="AH199" s="6"/>
      <c r="AI199" s="6"/>
      <c r="AJ199" s="6"/>
      <c r="AK199" s="6"/>
      <c r="AL199" s="5"/>
      <c r="AM199" s="5"/>
      <c r="AN199" s="5"/>
      <c r="AO199" s="5"/>
      <c r="AP199" s="5"/>
      <c r="AQ199" s="5"/>
      <c r="AR199" s="5"/>
      <c r="AS199" s="6"/>
      <c r="AT199" s="6"/>
      <c r="AU199" s="6"/>
      <c r="AV199" s="6"/>
      <c r="AW199" s="6"/>
      <c r="AX199" s="6"/>
      <c r="AY199" s="6"/>
      <c r="AZ199" s="6"/>
      <c r="BA199" s="6"/>
      <c r="BB199" s="6"/>
      <c r="BC199" s="7"/>
      <c r="BD199" s="6"/>
      <c r="BE199" s="6"/>
      <c r="BF199" s="6"/>
      <c r="BG199" s="6"/>
      <c r="BH199" s="6"/>
      <c r="BI199" s="6"/>
      <c r="BJ199" s="6"/>
      <c r="BK199" s="6"/>
      <c r="BL199" s="6"/>
      <c r="BM199" s="6"/>
    </row>
    <row r="200" spans="1:65" ht="21" customHeight="1">
      <c r="A200" s="87" t="s">
        <v>2</v>
      </c>
      <c r="B200" s="5"/>
      <c r="C200" s="5"/>
      <c r="D200" s="5"/>
      <c r="E200" s="5"/>
      <c r="F200" s="5"/>
      <c r="G200" s="6"/>
      <c r="H200" s="6"/>
      <c r="I200" s="6"/>
      <c r="J200" s="6"/>
      <c r="K200" s="6"/>
      <c r="L200" s="6"/>
      <c r="M200" s="6"/>
      <c r="N200" s="7"/>
      <c r="O200" s="6"/>
      <c r="P200" s="48"/>
      <c r="Q200" s="6"/>
      <c r="R200" s="6"/>
      <c r="S200" s="6"/>
      <c r="T200" s="6"/>
      <c r="U200" s="6"/>
      <c r="V200" s="6"/>
      <c r="W200" s="6"/>
      <c r="X200" s="6"/>
      <c r="Y200" s="6"/>
      <c r="Z200" s="6"/>
      <c r="AA200" s="6"/>
      <c r="AB200" s="6"/>
      <c r="AC200" s="6"/>
      <c r="AD200" s="6"/>
      <c r="AE200" s="6"/>
      <c r="AF200" s="6"/>
      <c r="AG200" s="6"/>
      <c r="AH200" s="6"/>
      <c r="AI200" s="6"/>
      <c r="AJ200" s="6"/>
      <c r="AK200" s="6"/>
      <c r="AL200" s="5"/>
      <c r="AM200" s="5"/>
      <c r="AN200" s="5"/>
      <c r="AO200" s="5"/>
      <c r="AP200" s="5"/>
      <c r="AQ200" s="5"/>
      <c r="AR200" s="5"/>
      <c r="AS200" s="6"/>
      <c r="AT200" s="6"/>
      <c r="AU200" s="6"/>
      <c r="AV200" s="6"/>
      <c r="AW200" s="6"/>
      <c r="AX200" s="6"/>
      <c r="AY200" s="6"/>
      <c r="AZ200" s="6"/>
      <c r="BA200" s="6"/>
      <c r="BB200" s="6"/>
      <c r="BC200" s="7"/>
      <c r="BD200" s="6"/>
      <c r="BE200" s="6"/>
      <c r="BF200" s="6"/>
      <c r="BG200" s="6"/>
      <c r="BH200" s="6"/>
      <c r="BI200" s="6"/>
      <c r="BJ200" s="6"/>
      <c r="BK200" s="6"/>
      <c r="BL200" s="6"/>
      <c r="BM200" s="6"/>
    </row>
    <row r="201" spans="1:65" ht="21" customHeight="1">
      <c r="A201" s="5"/>
      <c r="B201" s="5" t="s">
        <v>332</v>
      </c>
      <c r="C201" s="5"/>
      <c r="D201" s="5"/>
      <c r="E201" s="5"/>
      <c r="F201" s="5"/>
      <c r="G201" s="6"/>
      <c r="H201" s="28">
        <v>75066</v>
      </c>
      <c r="I201" s="28">
        <v>75085</v>
      </c>
      <c r="J201" s="28">
        <v>50324</v>
      </c>
      <c r="K201" s="6"/>
      <c r="L201" s="6"/>
      <c r="M201" s="6"/>
      <c r="N201" s="7"/>
      <c r="O201" s="6"/>
      <c r="P201" s="48"/>
      <c r="Q201" s="6"/>
      <c r="R201" s="6"/>
      <c r="S201" s="6"/>
      <c r="T201" s="6"/>
      <c r="U201" s="6"/>
      <c r="V201" s="6"/>
      <c r="W201" s="6"/>
      <c r="X201" s="6"/>
      <c r="Y201" s="6"/>
      <c r="Z201" s="6"/>
      <c r="AA201" s="6"/>
      <c r="AB201" s="6"/>
      <c r="AC201" s="6"/>
      <c r="AD201" s="6"/>
      <c r="AE201" s="6"/>
      <c r="AF201" s="6"/>
      <c r="AG201" s="6"/>
      <c r="AH201" s="6"/>
      <c r="AI201" s="6"/>
      <c r="AJ201" s="6"/>
      <c r="AK201" s="6"/>
      <c r="AL201" s="5"/>
      <c r="AM201" s="5"/>
      <c r="AN201" s="5"/>
      <c r="AO201" s="5"/>
      <c r="AP201" s="5"/>
      <c r="AQ201" s="5"/>
      <c r="AR201" s="5"/>
      <c r="AS201" s="6"/>
      <c r="AT201" s="6"/>
      <c r="AU201" s="6"/>
      <c r="AV201" s="6"/>
      <c r="AW201" s="6"/>
      <c r="AX201" s="6"/>
      <c r="AY201" s="6"/>
      <c r="AZ201" s="6"/>
      <c r="BA201" s="6"/>
      <c r="BB201" s="6"/>
      <c r="BC201" s="7"/>
      <c r="BD201" s="6"/>
      <c r="BE201" s="6"/>
      <c r="BF201" s="6"/>
      <c r="BG201" s="6"/>
      <c r="BH201" s="6"/>
      <c r="BI201" s="6"/>
      <c r="BJ201" s="6"/>
      <c r="BK201" s="6"/>
      <c r="BL201" s="6"/>
      <c r="BM201" s="6"/>
    </row>
    <row r="202" spans="1:65" ht="21" customHeight="1">
      <c r="A202" s="5"/>
      <c r="B202" s="5"/>
      <c r="C202" s="5" t="s">
        <v>338</v>
      </c>
      <c r="D202" s="5"/>
      <c r="E202" s="5"/>
      <c r="F202" s="5"/>
      <c r="G202" s="6"/>
      <c r="H202" s="6">
        <v>11211</v>
      </c>
      <c r="I202" s="6">
        <v>13085</v>
      </c>
      <c r="J202" s="6">
        <v>13158</v>
      </c>
      <c r="K202" s="6"/>
      <c r="L202" s="6"/>
      <c r="M202" s="6"/>
      <c r="N202" s="7"/>
      <c r="O202" s="6"/>
      <c r="P202" s="48"/>
      <c r="Q202" s="6"/>
      <c r="R202" s="6"/>
      <c r="S202" s="6"/>
      <c r="T202" s="6"/>
      <c r="U202" s="6"/>
      <c r="V202" s="6"/>
      <c r="W202" s="6"/>
      <c r="X202" s="6"/>
      <c r="Y202" s="6"/>
      <c r="Z202" s="6"/>
      <c r="AA202" s="6"/>
      <c r="AB202" s="6"/>
      <c r="AC202" s="6"/>
      <c r="AD202" s="6"/>
      <c r="AE202" s="6"/>
      <c r="AF202" s="6"/>
      <c r="AG202" s="6"/>
      <c r="AH202" s="6"/>
      <c r="AI202" s="6"/>
      <c r="AJ202" s="6"/>
      <c r="AK202" s="6"/>
      <c r="AL202" s="5"/>
      <c r="AM202" s="5"/>
      <c r="AN202" s="5"/>
      <c r="AO202" s="5"/>
      <c r="AP202" s="5"/>
      <c r="AQ202" s="5"/>
      <c r="AR202" s="5"/>
      <c r="AS202" s="6"/>
      <c r="AT202" s="6"/>
      <c r="AU202" s="6"/>
      <c r="AV202" s="6"/>
      <c r="AW202" s="6"/>
      <c r="AX202" s="6"/>
      <c r="AY202" s="6"/>
      <c r="AZ202" s="6"/>
      <c r="BA202" s="6"/>
      <c r="BB202" s="6"/>
      <c r="BC202" s="7"/>
      <c r="BD202" s="6"/>
      <c r="BE202" s="6"/>
      <c r="BF202" s="6"/>
      <c r="BG202" s="6"/>
      <c r="BH202" s="6"/>
      <c r="BI202" s="6"/>
      <c r="BJ202" s="6"/>
      <c r="BK202" s="6"/>
      <c r="BL202" s="6"/>
      <c r="BM202" s="6"/>
    </row>
    <row r="203" spans="1:65" ht="21" customHeight="1">
      <c r="A203" s="5"/>
      <c r="B203" s="5"/>
      <c r="C203" s="5" t="s">
        <v>335</v>
      </c>
      <c r="D203" s="5"/>
      <c r="E203" s="5"/>
      <c r="F203" s="5"/>
      <c r="G203" s="6"/>
      <c r="H203" s="6">
        <v>63855</v>
      </c>
      <c r="I203" s="6">
        <v>62000</v>
      </c>
      <c r="J203" s="6">
        <v>37166</v>
      </c>
      <c r="K203" s="6"/>
      <c r="L203" s="6"/>
      <c r="M203" s="6"/>
      <c r="N203" s="7"/>
      <c r="O203" s="6"/>
      <c r="P203" s="48"/>
      <c r="Q203" s="6"/>
      <c r="R203" s="6"/>
      <c r="S203" s="6"/>
      <c r="T203" s="6"/>
      <c r="U203" s="6"/>
      <c r="V203" s="6"/>
      <c r="W203" s="6"/>
      <c r="X203" s="6"/>
      <c r="Y203" s="6"/>
      <c r="Z203" s="6"/>
      <c r="AA203" s="6"/>
      <c r="AB203" s="6"/>
      <c r="AC203" s="6"/>
      <c r="AD203" s="6"/>
      <c r="AE203" s="6"/>
      <c r="AF203" s="6"/>
      <c r="AG203" s="6"/>
      <c r="AH203" s="6"/>
      <c r="AI203" s="6"/>
      <c r="AJ203" s="6"/>
      <c r="AK203" s="6"/>
      <c r="AL203" s="5"/>
      <c r="AM203" s="5"/>
      <c r="AN203" s="5"/>
      <c r="AO203" s="5"/>
      <c r="AP203" s="5"/>
      <c r="AQ203" s="5"/>
      <c r="AR203" s="5"/>
      <c r="AS203" s="6"/>
      <c r="AT203" s="6"/>
      <c r="AU203" s="6"/>
      <c r="AV203" s="6"/>
      <c r="AW203" s="6"/>
      <c r="AX203" s="6"/>
      <c r="AY203" s="6"/>
      <c r="AZ203" s="6"/>
      <c r="BA203" s="6"/>
      <c r="BB203" s="6"/>
      <c r="BC203" s="7"/>
      <c r="BD203" s="6"/>
      <c r="BE203" s="6"/>
      <c r="BF203" s="6"/>
      <c r="BG203" s="6"/>
      <c r="BH203" s="6"/>
      <c r="BI203" s="6"/>
      <c r="BJ203" s="6"/>
      <c r="BK203" s="6"/>
      <c r="BL203" s="6"/>
      <c r="BM203" s="6"/>
    </row>
    <row r="204" spans="1:65" ht="21" customHeight="1">
      <c r="A204" s="5"/>
      <c r="B204" s="5"/>
      <c r="C204" s="5"/>
      <c r="D204" s="5"/>
      <c r="E204" s="5"/>
      <c r="F204" s="5"/>
      <c r="G204" s="6"/>
      <c r="H204" s="6"/>
      <c r="I204" s="6"/>
      <c r="J204" s="6"/>
      <c r="K204" s="6"/>
      <c r="L204" s="6"/>
      <c r="M204" s="6"/>
      <c r="N204" s="7"/>
      <c r="O204" s="6"/>
      <c r="P204" s="48"/>
      <c r="Q204" s="6"/>
      <c r="R204" s="6"/>
      <c r="S204" s="6"/>
      <c r="T204" s="6"/>
      <c r="U204" s="6"/>
      <c r="V204" s="6"/>
      <c r="W204" s="6"/>
      <c r="X204" s="6"/>
      <c r="Y204" s="6"/>
      <c r="Z204" s="6"/>
      <c r="AA204" s="6"/>
      <c r="AB204" s="6"/>
      <c r="AC204" s="6"/>
      <c r="AD204" s="6"/>
      <c r="AE204" s="6"/>
      <c r="AF204" s="6"/>
      <c r="AG204" s="6"/>
      <c r="AH204" s="6"/>
      <c r="AI204" s="6"/>
      <c r="AJ204" s="6"/>
      <c r="AK204" s="6"/>
      <c r="AL204" s="5"/>
      <c r="AM204" s="5"/>
      <c r="AN204" s="5"/>
      <c r="AO204" s="5"/>
      <c r="AP204" s="5"/>
      <c r="AQ204" s="5"/>
      <c r="AR204" s="5"/>
      <c r="AS204" s="6"/>
      <c r="AT204" s="6"/>
      <c r="AU204" s="6"/>
      <c r="AV204" s="6"/>
      <c r="AW204" s="6"/>
      <c r="AX204" s="6"/>
      <c r="AY204" s="6"/>
      <c r="AZ204" s="6"/>
      <c r="BA204" s="6"/>
      <c r="BB204" s="6"/>
      <c r="BC204" s="7"/>
      <c r="BD204" s="6"/>
      <c r="BE204" s="6"/>
      <c r="BF204" s="6"/>
      <c r="BG204" s="6"/>
      <c r="BH204" s="6"/>
      <c r="BI204" s="6"/>
      <c r="BJ204" s="6"/>
      <c r="BK204" s="6"/>
      <c r="BL204" s="6"/>
      <c r="BM204" s="6"/>
    </row>
    <row r="205" spans="1:65" ht="21" customHeight="1">
      <c r="A205" s="87" t="s">
        <v>3</v>
      </c>
      <c r="B205" s="5"/>
      <c r="C205" s="5"/>
      <c r="D205" s="5"/>
      <c r="E205" s="5"/>
      <c r="F205" s="5"/>
      <c r="G205" s="6"/>
      <c r="H205" s="6"/>
      <c r="I205" s="6"/>
      <c r="J205" s="6"/>
      <c r="K205" s="6"/>
      <c r="L205" s="6"/>
      <c r="M205" s="6"/>
      <c r="N205" s="7"/>
      <c r="O205" s="6"/>
      <c r="P205" s="6"/>
      <c r="Q205" s="6"/>
      <c r="R205" s="6"/>
      <c r="S205" s="6"/>
      <c r="T205" s="6"/>
      <c r="U205" s="6"/>
      <c r="V205" s="6"/>
      <c r="W205" s="6"/>
      <c r="X205" s="6"/>
      <c r="Y205" s="6"/>
      <c r="Z205" s="6"/>
      <c r="AA205" s="6"/>
      <c r="AB205" s="6"/>
      <c r="AC205" s="6"/>
      <c r="AD205" s="6"/>
      <c r="AE205" s="6"/>
      <c r="AF205" s="6"/>
      <c r="AG205" s="6"/>
      <c r="AH205" s="6"/>
      <c r="AI205" s="6"/>
      <c r="AJ205" s="6"/>
      <c r="AK205" s="6"/>
      <c r="AL205" s="26"/>
      <c r="AM205" s="5"/>
      <c r="AN205" s="5"/>
      <c r="AO205" s="5"/>
      <c r="AP205" s="5"/>
      <c r="AQ205" s="5"/>
      <c r="AR205" s="5"/>
      <c r="AS205" s="6"/>
      <c r="AT205" s="6"/>
      <c r="AU205" s="6"/>
      <c r="AV205" s="6"/>
      <c r="AW205" s="6"/>
      <c r="AX205" s="6"/>
      <c r="AY205" s="6"/>
      <c r="AZ205" s="6"/>
      <c r="BA205" s="6"/>
      <c r="BB205" s="6"/>
      <c r="BC205" s="7"/>
      <c r="BD205" s="6"/>
      <c r="BE205" s="6"/>
      <c r="BF205" s="6"/>
      <c r="BG205" s="6"/>
      <c r="BH205" s="6"/>
      <c r="BI205" s="6"/>
      <c r="BJ205" s="6"/>
      <c r="BK205" s="6"/>
      <c r="BL205" s="6"/>
      <c r="BM205" s="6"/>
    </row>
    <row r="206" spans="1:65" ht="21" customHeight="1">
      <c r="A206" s="5"/>
      <c r="B206" s="5" t="s">
        <v>332</v>
      </c>
      <c r="C206" s="5"/>
      <c r="D206" s="5"/>
      <c r="E206" s="5"/>
      <c r="F206" s="5"/>
      <c r="G206" s="28"/>
      <c r="H206" s="28"/>
      <c r="I206" s="28"/>
      <c r="J206" s="28"/>
      <c r="K206" s="28"/>
      <c r="L206" s="28"/>
      <c r="M206" s="28"/>
      <c r="N206" s="29"/>
      <c r="O206" s="28"/>
      <c r="P206" s="28"/>
      <c r="Q206" s="28"/>
      <c r="R206" s="28">
        <f aca="true" t="shared" si="21" ref="R206:BD206">SUM(R207:R209)</f>
        <v>252700</v>
      </c>
      <c r="S206" s="28">
        <f t="shared" si="21"/>
        <v>731674</v>
      </c>
      <c r="T206" s="28">
        <f t="shared" si="21"/>
        <v>835025</v>
      </c>
      <c r="U206" s="28">
        <f t="shared" si="21"/>
        <v>1167610</v>
      </c>
      <c r="V206" s="28">
        <f t="shared" si="21"/>
        <v>1314650</v>
      </c>
      <c r="W206" s="28">
        <f t="shared" si="21"/>
        <v>1150319</v>
      </c>
      <c r="X206" s="28">
        <f t="shared" si="21"/>
        <v>1206568</v>
      </c>
      <c r="Y206" s="28">
        <f t="shared" si="21"/>
        <v>1300405</v>
      </c>
      <c r="Z206" s="28">
        <f t="shared" si="21"/>
        <v>1516041</v>
      </c>
      <c r="AA206" s="28">
        <f t="shared" si="21"/>
        <v>1572194</v>
      </c>
      <c r="AB206" s="28">
        <f t="shared" si="21"/>
        <v>1679921</v>
      </c>
      <c r="AC206" s="28">
        <f t="shared" si="21"/>
        <v>1591588</v>
      </c>
      <c r="AD206" s="28">
        <f t="shared" si="21"/>
        <v>1870129</v>
      </c>
      <c r="AE206" s="28">
        <f t="shared" si="21"/>
        <v>2261515</v>
      </c>
      <c r="AF206" s="28">
        <f t="shared" si="21"/>
        <v>2798726</v>
      </c>
      <c r="AG206" s="28">
        <f t="shared" si="21"/>
        <v>3827708</v>
      </c>
      <c r="AH206" s="28">
        <f t="shared" si="21"/>
        <v>4296130</v>
      </c>
      <c r="AI206" s="28">
        <f t="shared" si="21"/>
        <v>5222167</v>
      </c>
      <c r="AJ206" s="28">
        <f t="shared" si="21"/>
        <v>5738213</v>
      </c>
      <c r="AK206" s="28">
        <f t="shared" si="21"/>
        <v>7308117</v>
      </c>
      <c r="AL206" s="28">
        <f t="shared" si="21"/>
        <v>9404583</v>
      </c>
      <c r="AM206" s="28">
        <f t="shared" si="21"/>
        <v>10763701</v>
      </c>
      <c r="AN206" s="28">
        <f t="shared" si="21"/>
        <v>12225245</v>
      </c>
      <c r="AO206" s="28">
        <f t="shared" si="21"/>
        <v>10659045</v>
      </c>
      <c r="AP206" s="28">
        <f t="shared" si="21"/>
        <v>0</v>
      </c>
      <c r="AQ206" s="28">
        <f t="shared" si="21"/>
        <v>0</v>
      </c>
      <c r="AR206" s="28">
        <f t="shared" si="21"/>
        <v>0</v>
      </c>
      <c r="AS206" s="28">
        <f t="shared" si="21"/>
        <v>0</v>
      </c>
      <c r="AT206" s="28">
        <f t="shared" si="21"/>
        <v>0</v>
      </c>
      <c r="AU206" s="28">
        <f t="shared" si="21"/>
        <v>0</v>
      </c>
      <c r="AV206" s="28">
        <f t="shared" si="21"/>
        <v>0</v>
      </c>
      <c r="AW206" s="28">
        <f t="shared" si="21"/>
        <v>0</v>
      </c>
      <c r="AX206" s="28">
        <f t="shared" si="21"/>
        <v>0</v>
      </c>
      <c r="AY206" s="28">
        <f t="shared" si="21"/>
        <v>0</v>
      </c>
      <c r="AZ206" s="28">
        <f t="shared" si="21"/>
        <v>0</v>
      </c>
      <c r="BA206" s="28">
        <f t="shared" si="21"/>
        <v>0</v>
      </c>
      <c r="BB206" s="28">
        <f t="shared" si="21"/>
        <v>0</v>
      </c>
      <c r="BC206" s="29">
        <f t="shared" si="21"/>
        <v>0</v>
      </c>
      <c r="BD206" s="28">
        <f t="shared" si="21"/>
        <v>0</v>
      </c>
      <c r="BE206" s="28"/>
      <c r="BF206" s="28"/>
      <c r="BG206" s="28"/>
      <c r="BH206" s="28"/>
      <c r="BI206" s="28"/>
      <c r="BJ206" s="28"/>
      <c r="BK206" s="28"/>
      <c r="BL206" s="28"/>
      <c r="BM206" s="28"/>
    </row>
    <row r="207" spans="1:65" ht="21" customHeight="1">
      <c r="A207" s="5"/>
      <c r="B207" s="5"/>
      <c r="C207" s="5" t="s">
        <v>4</v>
      </c>
      <c r="D207" s="5"/>
      <c r="E207" s="5"/>
      <c r="F207" s="5"/>
      <c r="G207" s="6"/>
      <c r="H207" s="6"/>
      <c r="I207" s="6"/>
      <c r="J207" s="6"/>
      <c r="K207" s="6"/>
      <c r="L207" s="6"/>
      <c r="M207" s="6"/>
      <c r="N207" s="7"/>
      <c r="O207" s="6"/>
      <c r="P207" s="6"/>
      <c r="Q207" s="6">
        <v>0</v>
      </c>
      <c r="R207" s="6">
        <v>15975</v>
      </c>
      <c r="S207" s="6">
        <v>86800</v>
      </c>
      <c r="T207" s="6">
        <v>157766</v>
      </c>
      <c r="U207" s="6">
        <v>758387</v>
      </c>
      <c r="V207" s="6">
        <v>896797</v>
      </c>
      <c r="W207" s="6">
        <v>680314</v>
      </c>
      <c r="X207" s="6">
        <v>744204</v>
      </c>
      <c r="Y207" s="6">
        <v>735818</v>
      </c>
      <c r="Z207" s="6">
        <v>467437</v>
      </c>
      <c r="AA207" s="6">
        <v>367091</v>
      </c>
      <c r="AB207" s="6">
        <v>336134</v>
      </c>
      <c r="AC207" s="6">
        <v>398777</v>
      </c>
      <c r="AD207" s="6">
        <v>233561</v>
      </c>
      <c r="AE207" s="6">
        <v>383802</v>
      </c>
      <c r="AF207" s="6">
        <v>716322</v>
      </c>
      <c r="AG207" s="6">
        <v>813660</v>
      </c>
      <c r="AH207" s="6">
        <v>901995</v>
      </c>
      <c r="AI207" s="6">
        <v>1087792</v>
      </c>
      <c r="AJ207" s="6">
        <v>1361782</v>
      </c>
      <c r="AK207" s="6">
        <v>1861459</v>
      </c>
      <c r="AL207" s="6">
        <v>2600061</v>
      </c>
      <c r="AM207" s="6">
        <v>3090950</v>
      </c>
      <c r="AN207" s="6">
        <v>3207663</v>
      </c>
      <c r="AO207" s="6">
        <v>1611703</v>
      </c>
      <c r="AP207" s="5"/>
      <c r="AQ207" s="5"/>
      <c r="AR207" s="5"/>
      <c r="AS207" s="6"/>
      <c r="AT207" s="6"/>
      <c r="AU207" s="6"/>
      <c r="AV207" s="6"/>
      <c r="AW207" s="6"/>
      <c r="AX207" s="6"/>
      <c r="AY207" s="6"/>
      <c r="AZ207" s="6"/>
      <c r="BA207" s="6"/>
      <c r="BB207" s="6"/>
      <c r="BC207" s="7"/>
      <c r="BD207" s="6"/>
      <c r="BE207" s="6"/>
      <c r="BF207" s="6"/>
      <c r="BG207" s="6"/>
      <c r="BH207" s="6"/>
      <c r="BI207" s="6"/>
      <c r="BJ207" s="6"/>
      <c r="BK207" s="6"/>
      <c r="BL207" s="6"/>
      <c r="BM207" s="6"/>
    </row>
    <row r="208" spans="1:65" ht="21" customHeight="1">
      <c r="A208" s="5"/>
      <c r="B208" s="5"/>
      <c r="C208" s="5" t="s">
        <v>338</v>
      </c>
      <c r="D208" s="5"/>
      <c r="E208" s="5"/>
      <c r="F208" s="5"/>
      <c r="G208" s="6"/>
      <c r="H208" s="6"/>
      <c r="I208" s="6"/>
      <c r="J208" s="6"/>
      <c r="K208" s="6"/>
      <c r="L208" s="6"/>
      <c r="M208" s="6"/>
      <c r="N208" s="7"/>
      <c r="O208" s="6"/>
      <c r="P208" s="6"/>
      <c r="Q208" s="6">
        <v>0</v>
      </c>
      <c r="R208" s="6">
        <v>7600</v>
      </c>
      <c r="S208" s="6">
        <v>13415</v>
      </c>
      <c r="T208" s="6">
        <v>15635</v>
      </c>
      <c r="U208" s="6">
        <v>18752</v>
      </c>
      <c r="V208" s="6">
        <v>22194</v>
      </c>
      <c r="W208" s="6">
        <v>25291</v>
      </c>
      <c r="X208" s="6">
        <v>29631</v>
      </c>
      <c r="Y208" s="6">
        <v>31765</v>
      </c>
      <c r="Z208" s="6">
        <v>44273</v>
      </c>
      <c r="AA208" s="6">
        <v>52744</v>
      </c>
      <c r="AB208" s="6">
        <v>60233</v>
      </c>
      <c r="AC208" s="6">
        <v>66801</v>
      </c>
      <c r="AD208" s="6">
        <v>72472</v>
      </c>
      <c r="AE208" s="6">
        <v>89451</v>
      </c>
      <c r="AF208" s="6">
        <v>119783</v>
      </c>
      <c r="AG208" s="6">
        <v>136619</v>
      </c>
      <c r="AH208" s="6">
        <v>150495</v>
      </c>
      <c r="AI208" s="6">
        <v>165806</v>
      </c>
      <c r="AJ208" s="6">
        <v>177881</v>
      </c>
      <c r="AK208" s="6">
        <v>186659</v>
      </c>
      <c r="AL208" s="6">
        <v>192194</v>
      </c>
      <c r="AM208" s="6">
        <v>203764</v>
      </c>
      <c r="AN208" s="6">
        <v>213482</v>
      </c>
      <c r="AO208" s="6">
        <v>123126</v>
      </c>
      <c r="AP208" s="5"/>
      <c r="AQ208" s="5"/>
      <c r="AR208" s="5"/>
      <c r="AS208" s="6"/>
      <c r="AT208" s="6"/>
      <c r="AU208" s="6"/>
      <c r="AV208" s="6"/>
      <c r="AW208" s="6"/>
      <c r="AX208" s="6"/>
      <c r="AY208" s="6"/>
      <c r="AZ208" s="6"/>
      <c r="BA208" s="6"/>
      <c r="BB208" s="6"/>
      <c r="BC208" s="7"/>
      <c r="BD208" s="6"/>
      <c r="BE208" s="6"/>
      <c r="BF208" s="6"/>
      <c r="BG208" s="6"/>
      <c r="BH208" s="6"/>
      <c r="BI208" s="6"/>
      <c r="BJ208" s="6"/>
      <c r="BK208" s="6"/>
      <c r="BL208" s="6"/>
      <c r="BM208" s="6"/>
    </row>
    <row r="209" spans="1:65" ht="21" customHeight="1">
      <c r="A209" s="5"/>
      <c r="B209" s="5"/>
      <c r="C209" s="5" t="s">
        <v>335</v>
      </c>
      <c r="D209" s="5"/>
      <c r="E209" s="5"/>
      <c r="F209" s="5"/>
      <c r="G209" s="6"/>
      <c r="H209" s="6"/>
      <c r="I209" s="6"/>
      <c r="J209" s="6"/>
      <c r="K209" s="6"/>
      <c r="L209" s="6"/>
      <c r="M209" s="6"/>
      <c r="N209" s="7"/>
      <c r="O209" s="6"/>
      <c r="P209" s="6"/>
      <c r="Q209" s="6">
        <v>0</v>
      </c>
      <c r="R209" s="6">
        <v>229125</v>
      </c>
      <c r="S209" s="6">
        <v>631459</v>
      </c>
      <c r="T209" s="6">
        <v>661624</v>
      </c>
      <c r="U209" s="6">
        <v>390471</v>
      </c>
      <c r="V209" s="6">
        <v>395659</v>
      </c>
      <c r="W209" s="6">
        <v>444714</v>
      </c>
      <c r="X209" s="6">
        <v>432733</v>
      </c>
      <c r="Y209" s="6">
        <v>532822</v>
      </c>
      <c r="Z209" s="6">
        <v>1004331</v>
      </c>
      <c r="AA209" s="6">
        <v>1152359</v>
      </c>
      <c r="AB209" s="6">
        <v>1283554</v>
      </c>
      <c r="AC209" s="6">
        <v>1126010</v>
      </c>
      <c r="AD209" s="6">
        <v>1564096</v>
      </c>
      <c r="AE209" s="6">
        <v>1788262</v>
      </c>
      <c r="AF209" s="6">
        <v>1962621</v>
      </c>
      <c r="AG209" s="6">
        <v>2877429</v>
      </c>
      <c r="AH209" s="6">
        <v>3243640</v>
      </c>
      <c r="AI209" s="6">
        <v>3968569</v>
      </c>
      <c r="AJ209" s="6">
        <v>4198550</v>
      </c>
      <c r="AK209" s="6">
        <v>5259999</v>
      </c>
      <c r="AL209" s="6">
        <v>6612328</v>
      </c>
      <c r="AM209" s="6">
        <v>7468987</v>
      </c>
      <c r="AN209" s="6">
        <v>8804100</v>
      </c>
      <c r="AO209" s="6">
        <v>8924216</v>
      </c>
      <c r="AP209" s="5"/>
      <c r="AQ209" s="5"/>
      <c r="AR209" s="5"/>
      <c r="AS209" s="6"/>
      <c r="AT209" s="6"/>
      <c r="AU209" s="6"/>
      <c r="AV209" s="6"/>
      <c r="AW209" s="6"/>
      <c r="AX209" s="6"/>
      <c r="AY209" s="6"/>
      <c r="AZ209" s="6"/>
      <c r="BA209" s="6"/>
      <c r="BB209" s="6"/>
      <c r="BC209" s="7"/>
      <c r="BD209" s="6"/>
      <c r="BE209" s="6"/>
      <c r="BF209" s="6"/>
      <c r="BG209" s="6"/>
      <c r="BH209" s="6"/>
      <c r="BI209" s="6"/>
      <c r="BJ209" s="6"/>
      <c r="BK209" s="6"/>
      <c r="BL209" s="6"/>
      <c r="BM209" s="6"/>
    </row>
    <row r="210" spans="1:65" ht="21" customHeight="1">
      <c r="A210" s="5"/>
      <c r="B210" s="5"/>
      <c r="C210" s="5"/>
      <c r="D210" s="5"/>
      <c r="E210" s="5"/>
      <c r="F210" s="5"/>
      <c r="G210" s="6"/>
      <c r="H210" s="6"/>
      <c r="I210" s="6"/>
      <c r="J210" s="6"/>
      <c r="K210" s="6"/>
      <c r="L210" s="6"/>
      <c r="M210" s="6"/>
      <c r="N210" s="7"/>
      <c r="O210" s="6"/>
      <c r="P210" s="6"/>
      <c r="Q210" s="6"/>
      <c r="R210" s="6"/>
      <c r="S210" s="6"/>
      <c r="T210" s="6"/>
      <c r="U210" s="6"/>
      <c r="V210" s="6"/>
      <c r="W210" s="6"/>
      <c r="X210" s="6"/>
      <c r="Y210" s="6"/>
      <c r="Z210" s="6"/>
      <c r="AA210" s="6"/>
      <c r="AB210" s="6"/>
      <c r="AC210" s="6"/>
      <c r="AD210" s="6"/>
      <c r="AE210" s="6"/>
      <c r="AF210" s="6"/>
      <c r="AG210" s="6"/>
      <c r="AH210" s="6"/>
      <c r="AI210" s="6"/>
      <c r="AJ210" s="6"/>
      <c r="AK210" s="6"/>
      <c r="AL210" s="5"/>
      <c r="AM210" s="5"/>
      <c r="AN210" s="5"/>
      <c r="AO210" s="5"/>
      <c r="AP210" s="5"/>
      <c r="AQ210" s="5"/>
      <c r="AR210" s="5"/>
      <c r="AS210" s="6"/>
      <c r="AT210" s="6"/>
      <c r="AU210" s="6"/>
      <c r="AV210" s="6"/>
      <c r="AW210" s="6"/>
      <c r="AX210" s="6"/>
      <c r="AY210" s="6"/>
      <c r="AZ210" s="6"/>
      <c r="BA210" s="6"/>
      <c r="BB210" s="6"/>
      <c r="BC210" s="7"/>
      <c r="BD210" s="6"/>
      <c r="BE210" s="6"/>
      <c r="BF210" s="6"/>
      <c r="BG210" s="6"/>
      <c r="BH210" s="6"/>
      <c r="BI210" s="6"/>
      <c r="BJ210" s="6"/>
      <c r="BK210" s="6"/>
      <c r="BL210" s="6"/>
      <c r="BM210" s="6"/>
    </row>
    <row r="211" spans="1:65" ht="21" customHeight="1">
      <c r="A211" s="87" t="s">
        <v>5</v>
      </c>
      <c r="B211" s="5"/>
      <c r="C211" s="5"/>
      <c r="D211" s="5"/>
      <c r="E211" s="5"/>
      <c r="F211" s="5"/>
      <c r="G211" s="6"/>
      <c r="H211" s="6"/>
      <c r="I211" s="6"/>
      <c r="J211" s="6"/>
      <c r="K211" s="6"/>
      <c r="L211" s="6"/>
      <c r="M211" s="6"/>
      <c r="N211" s="7"/>
      <c r="O211" s="6"/>
      <c r="P211" s="48"/>
      <c r="Q211" s="6"/>
      <c r="R211" s="6"/>
      <c r="S211" s="6"/>
      <c r="T211" s="6"/>
      <c r="U211" s="6"/>
      <c r="V211" s="6"/>
      <c r="W211" s="6"/>
      <c r="X211" s="6"/>
      <c r="Y211" s="6"/>
      <c r="Z211" s="6"/>
      <c r="AA211" s="6"/>
      <c r="AB211" s="6"/>
      <c r="AC211" s="6"/>
      <c r="AD211" s="6"/>
      <c r="AE211" s="6"/>
      <c r="AF211" s="6"/>
      <c r="AG211" s="6"/>
      <c r="AH211" s="6"/>
      <c r="AI211" s="6"/>
      <c r="AJ211" s="6"/>
      <c r="AK211" s="6"/>
      <c r="AL211" s="5"/>
      <c r="AM211" s="5"/>
      <c r="AN211" s="5"/>
      <c r="AO211" s="5"/>
      <c r="AP211" s="5"/>
      <c r="AQ211" s="5"/>
      <c r="AR211" s="5"/>
      <c r="AS211" s="6"/>
      <c r="AT211" s="6"/>
      <c r="AU211" s="6"/>
      <c r="AV211" s="6"/>
      <c r="AW211" s="6"/>
      <c r="AX211" s="6"/>
      <c r="AY211" s="6"/>
      <c r="AZ211" s="6"/>
      <c r="BA211" s="6"/>
      <c r="BB211" s="6"/>
      <c r="BC211" s="7"/>
      <c r="BD211" s="6"/>
      <c r="BE211" s="6"/>
      <c r="BF211" s="6"/>
      <c r="BG211" s="6"/>
      <c r="BH211" s="6"/>
      <c r="BI211" s="6"/>
      <c r="BJ211" s="6"/>
      <c r="BK211" s="6"/>
      <c r="BL211" s="6"/>
      <c r="BM211" s="6"/>
    </row>
    <row r="212" spans="1:65" ht="21" customHeight="1">
      <c r="A212" s="5"/>
      <c r="B212" s="5" t="s">
        <v>332</v>
      </c>
      <c r="C212" s="5"/>
      <c r="D212" s="5"/>
      <c r="E212" s="5"/>
      <c r="F212" s="5"/>
      <c r="G212" s="6"/>
      <c r="H212" s="6"/>
      <c r="I212" s="6"/>
      <c r="J212" s="6"/>
      <c r="K212" s="6"/>
      <c r="L212" s="6"/>
      <c r="M212" s="6"/>
      <c r="N212" s="7"/>
      <c r="O212" s="6"/>
      <c r="P212" s="48"/>
      <c r="Q212" s="6"/>
      <c r="R212" s="6"/>
      <c r="S212" s="6"/>
      <c r="T212" s="28">
        <v>2301000</v>
      </c>
      <c r="U212" s="28">
        <v>4391200</v>
      </c>
      <c r="V212" s="28">
        <v>6720407</v>
      </c>
      <c r="W212" s="28">
        <v>8135301</v>
      </c>
      <c r="X212" s="28">
        <v>1000000</v>
      </c>
      <c r="Y212" s="6"/>
      <c r="Z212" s="6"/>
      <c r="AA212" s="6"/>
      <c r="AB212" s="6"/>
      <c r="AC212" s="6"/>
      <c r="AD212" s="6"/>
      <c r="AE212" s="6"/>
      <c r="AF212" s="6"/>
      <c r="AG212" s="6"/>
      <c r="AH212" s="6"/>
      <c r="AI212" s="6"/>
      <c r="AJ212" s="6"/>
      <c r="AK212" s="6"/>
      <c r="AL212" s="5"/>
      <c r="AM212" s="5"/>
      <c r="AN212" s="5"/>
      <c r="AO212" s="5"/>
      <c r="AP212" s="5"/>
      <c r="AQ212" s="5"/>
      <c r="AR212" s="5"/>
      <c r="AS212" s="6"/>
      <c r="AT212" s="6"/>
      <c r="AU212" s="6"/>
      <c r="AV212" s="6"/>
      <c r="AW212" s="6"/>
      <c r="AX212" s="6"/>
      <c r="AY212" s="6"/>
      <c r="AZ212" s="6"/>
      <c r="BA212" s="6"/>
      <c r="BB212" s="6"/>
      <c r="BC212" s="7"/>
      <c r="BD212" s="6"/>
      <c r="BE212" s="6"/>
      <c r="BF212" s="6"/>
      <c r="BG212" s="6"/>
      <c r="BH212" s="6"/>
      <c r="BI212" s="6"/>
      <c r="BJ212" s="6"/>
      <c r="BK212" s="6"/>
      <c r="BL212" s="6"/>
      <c r="BM212" s="6"/>
    </row>
    <row r="213" spans="1:65" ht="21" customHeight="1">
      <c r="A213" s="5"/>
      <c r="B213" s="5"/>
      <c r="C213" s="5" t="s">
        <v>6</v>
      </c>
      <c r="D213" s="5"/>
      <c r="E213" s="5"/>
      <c r="F213" s="5"/>
      <c r="G213" s="6"/>
      <c r="H213" s="6"/>
      <c r="I213" s="6"/>
      <c r="J213" s="6"/>
      <c r="K213" s="6"/>
      <c r="L213" s="6"/>
      <c r="M213" s="6"/>
      <c r="N213" s="7"/>
      <c r="O213" s="6"/>
      <c r="P213" s="48"/>
      <c r="Q213" s="6"/>
      <c r="R213" s="6"/>
      <c r="S213" s="6"/>
      <c r="T213" s="6">
        <v>2301000</v>
      </c>
      <c r="U213" s="6">
        <v>4391200</v>
      </c>
      <c r="V213" s="6">
        <v>6720407</v>
      </c>
      <c r="W213" s="6">
        <v>8135301</v>
      </c>
      <c r="X213" s="6">
        <v>1000000</v>
      </c>
      <c r="Y213" s="6"/>
      <c r="Z213" s="6"/>
      <c r="AA213" s="6"/>
      <c r="AB213" s="6"/>
      <c r="AC213" s="6"/>
      <c r="AD213" s="6"/>
      <c r="AE213" s="6"/>
      <c r="AF213" s="6"/>
      <c r="AG213" s="6"/>
      <c r="AH213" s="6"/>
      <c r="AI213" s="6"/>
      <c r="AJ213" s="6"/>
      <c r="AK213" s="6"/>
      <c r="AL213" s="5"/>
      <c r="AM213" s="5"/>
      <c r="AN213" s="5"/>
      <c r="AO213" s="5"/>
      <c r="AP213" s="5"/>
      <c r="AQ213" s="5"/>
      <c r="AR213" s="5"/>
      <c r="AS213" s="6"/>
      <c r="AT213" s="6"/>
      <c r="AU213" s="6"/>
      <c r="AV213" s="6"/>
      <c r="AW213" s="6"/>
      <c r="AX213" s="6"/>
      <c r="AY213" s="6"/>
      <c r="AZ213" s="6"/>
      <c r="BA213" s="6"/>
      <c r="BB213" s="6"/>
      <c r="BC213" s="7"/>
      <c r="BD213" s="6"/>
      <c r="BE213" s="6"/>
      <c r="BF213" s="6"/>
      <c r="BG213" s="6"/>
      <c r="BH213" s="6"/>
      <c r="BI213" s="6"/>
      <c r="BJ213" s="6"/>
      <c r="BK213" s="6"/>
      <c r="BL213" s="6"/>
      <c r="BM213" s="6"/>
    </row>
    <row r="214" spans="1:65" ht="21" customHeight="1">
      <c r="A214" s="5"/>
      <c r="B214" s="5"/>
      <c r="C214" s="5"/>
      <c r="D214" s="5" t="s">
        <v>7</v>
      </c>
      <c r="E214" s="5"/>
      <c r="F214" s="5"/>
      <c r="G214" s="6"/>
      <c r="H214" s="6"/>
      <c r="I214" s="6"/>
      <c r="J214" s="6"/>
      <c r="K214" s="6"/>
      <c r="L214" s="6"/>
      <c r="M214" s="6"/>
      <c r="N214" s="7"/>
      <c r="O214" s="6"/>
      <c r="P214" s="48"/>
      <c r="Q214" s="6"/>
      <c r="R214" s="6"/>
      <c r="S214" s="6"/>
      <c r="T214" s="6">
        <v>1461000</v>
      </c>
      <c r="U214" s="6"/>
      <c r="V214" s="6"/>
      <c r="W214" s="6"/>
      <c r="X214" s="6"/>
      <c r="Y214" s="6"/>
      <c r="Z214" s="6"/>
      <c r="AA214" s="6"/>
      <c r="AB214" s="6"/>
      <c r="AC214" s="6"/>
      <c r="AD214" s="6"/>
      <c r="AE214" s="6"/>
      <c r="AF214" s="6"/>
      <c r="AG214" s="6"/>
      <c r="AH214" s="6"/>
      <c r="AI214" s="6"/>
      <c r="AJ214" s="6"/>
      <c r="AK214" s="6"/>
      <c r="AL214" s="5"/>
      <c r="AM214" s="5"/>
      <c r="AN214" s="5"/>
      <c r="AO214" s="5"/>
      <c r="AP214" s="5"/>
      <c r="AQ214" s="5"/>
      <c r="AR214" s="5"/>
      <c r="AS214" s="6"/>
      <c r="AT214" s="6"/>
      <c r="AU214" s="6"/>
      <c r="AV214" s="6"/>
      <c r="AW214" s="6"/>
      <c r="AX214" s="6"/>
      <c r="AY214" s="6"/>
      <c r="AZ214" s="6"/>
      <c r="BA214" s="6"/>
      <c r="BB214" s="6"/>
      <c r="BC214" s="7"/>
      <c r="BD214" s="6"/>
      <c r="BE214" s="6"/>
      <c r="BF214" s="6"/>
      <c r="BG214" s="6"/>
      <c r="BH214" s="6"/>
      <c r="BI214" s="6"/>
      <c r="BJ214" s="6"/>
      <c r="BK214" s="6"/>
      <c r="BL214" s="6"/>
      <c r="BM214" s="6"/>
    </row>
    <row r="215" spans="1:65" ht="21" customHeight="1">
      <c r="A215" s="5"/>
      <c r="B215" s="5"/>
      <c r="C215" s="5"/>
      <c r="D215" s="5" t="s">
        <v>8</v>
      </c>
      <c r="E215" s="5"/>
      <c r="F215" s="5"/>
      <c r="G215" s="6"/>
      <c r="H215" s="6"/>
      <c r="I215" s="6"/>
      <c r="J215" s="6"/>
      <c r="K215" s="6"/>
      <c r="L215" s="6"/>
      <c r="M215" s="6"/>
      <c r="N215" s="7"/>
      <c r="O215" s="6"/>
      <c r="P215" s="48"/>
      <c r="Q215" s="6"/>
      <c r="R215" s="6"/>
      <c r="S215" s="6"/>
      <c r="T215" s="6">
        <v>100000</v>
      </c>
      <c r="U215" s="6"/>
      <c r="V215" s="6"/>
      <c r="W215" s="6"/>
      <c r="X215" s="6"/>
      <c r="Y215" s="6"/>
      <c r="Z215" s="6"/>
      <c r="AA215" s="6"/>
      <c r="AB215" s="6"/>
      <c r="AC215" s="6"/>
      <c r="AD215" s="6"/>
      <c r="AE215" s="6"/>
      <c r="AF215" s="6"/>
      <c r="AG215" s="6"/>
      <c r="AH215" s="6"/>
      <c r="AI215" s="6"/>
      <c r="AJ215" s="6"/>
      <c r="AK215" s="6"/>
      <c r="AL215" s="5"/>
      <c r="AM215" s="5"/>
      <c r="AN215" s="5"/>
      <c r="AO215" s="5"/>
      <c r="AP215" s="5"/>
      <c r="AQ215" s="5"/>
      <c r="AR215" s="5"/>
      <c r="AS215" s="6"/>
      <c r="AT215" s="6"/>
      <c r="AU215" s="6"/>
      <c r="AV215" s="6"/>
      <c r="AW215" s="6"/>
      <c r="AX215" s="6"/>
      <c r="AY215" s="6"/>
      <c r="AZ215" s="6"/>
      <c r="BA215" s="6"/>
      <c r="BB215" s="6"/>
      <c r="BC215" s="7"/>
      <c r="BD215" s="6"/>
      <c r="BE215" s="6"/>
      <c r="BF215" s="6"/>
      <c r="BG215" s="6"/>
      <c r="BH215" s="6"/>
      <c r="BI215" s="6"/>
      <c r="BJ215" s="6"/>
      <c r="BK215" s="6"/>
      <c r="BL215" s="6"/>
      <c r="BM215" s="6"/>
    </row>
    <row r="216" spans="1:65" ht="21" customHeight="1">
      <c r="A216" s="5"/>
      <c r="B216" s="5"/>
      <c r="C216" s="5"/>
      <c r="D216" s="5" t="s">
        <v>9</v>
      </c>
      <c r="E216" s="5"/>
      <c r="F216" s="5"/>
      <c r="G216" s="6"/>
      <c r="H216" s="6"/>
      <c r="I216" s="6"/>
      <c r="J216" s="6"/>
      <c r="K216" s="6"/>
      <c r="L216" s="6"/>
      <c r="M216" s="6"/>
      <c r="N216" s="7"/>
      <c r="O216" s="6"/>
      <c r="P216" s="48"/>
      <c r="Q216" s="6"/>
      <c r="R216" s="6"/>
      <c r="S216" s="6"/>
      <c r="T216" s="6">
        <v>740000</v>
      </c>
      <c r="U216" s="6"/>
      <c r="V216" s="6"/>
      <c r="W216" s="6"/>
      <c r="X216" s="6"/>
      <c r="Y216" s="6"/>
      <c r="Z216" s="6"/>
      <c r="AA216" s="6"/>
      <c r="AB216" s="6"/>
      <c r="AC216" s="6"/>
      <c r="AD216" s="6"/>
      <c r="AE216" s="6"/>
      <c r="AF216" s="6"/>
      <c r="AG216" s="6"/>
      <c r="AH216" s="6"/>
      <c r="AI216" s="6"/>
      <c r="AJ216" s="6"/>
      <c r="AK216" s="6"/>
      <c r="AL216" s="5"/>
      <c r="AM216" s="5"/>
      <c r="AN216" s="5"/>
      <c r="AO216" s="5"/>
      <c r="AP216" s="5"/>
      <c r="AQ216" s="5"/>
      <c r="AR216" s="5"/>
      <c r="AS216" s="6"/>
      <c r="AT216" s="6"/>
      <c r="AU216" s="6"/>
      <c r="AV216" s="6"/>
      <c r="AW216" s="6"/>
      <c r="AX216" s="6"/>
      <c r="AY216" s="6"/>
      <c r="AZ216" s="6"/>
      <c r="BA216" s="6"/>
      <c r="BB216" s="6"/>
      <c r="BC216" s="7"/>
      <c r="BD216" s="6"/>
      <c r="BE216" s="6"/>
      <c r="BF216" s="6"/>
      <c r="BG216" s="6"/>
      <c r="BH216" s="6"/>
      <c r="BI216" s="6"/>
      <c r="BJ216" s="6"/>
      <c r="BK216" s="6"/>
      <c r="BL216" s="6"/>
      <c r="BM216" s="6"/>
    </row>
    <row r="217" spans="1:65" ht="21" customHeight="1">
      <c r="A217" s="5"/>
      <c r="B217" s="5"/>
      <c r="C217" s="5"/>
      <c r="D217" s="5"/>
      <c r="E217" s="5"/>
      <c r="F217" s="5"/>
      <c r="G217" s="6"/>
      <c r="H217" s="6"/>
      <c r="I217" s="6"/>
      <c r="J217" s="6"/>
      <c r="K217" s="6"/>
      <c r="L217" s="6"/>
      <c r="M217" s="6"/>
      <c r="N217" s="7"/>
      <c r="O217" s="6"/>
      <c r="P217" s="48"/>
      <c r="Q217" s="6"/>
      <c r="R217" s="6"/>
      <c r="S217" s="6"/>
      <c r="T217" s="6"/>
      <c r="U217" s="6"/>
      <c r="V217" s="6"/>
      <c r="W217" s="6"/>
      <c r="X217" s="6"/>
      <c r="Y217" s="6"/>
      <c r="Z217" s="6"/>
      <c r="AA217" s="6"/>
      <c r="AB217" s="6"/>
      <c r="AC217" s="6"/>
      <c r="AD217" s="6"/>
      <c r="AE217" s="6"/>
      <c r="AF217" s="6"/>
      <c r="AG217" s="6"/>
      <c r="AH217" s="6"/>
      <c r="AI217" s="6"/>
      <c r="AJ217" s="6"/>
      <c r="AK217" s="6"/>
      <c r="AL217" s="5"/>
      <c r="AM217" s="5"/>
      <c r="AN217" s="5"/>
      <c r="AO217" s="5"/>
      <c r="AP217" s="5"/>
      <c r="AQ217" s="5"/>
      <c r="AR217" s="5"/>
      <c r="AS217" s="6"/>
      <c r="AT217" s="6"/>
      <c r="AU217" s="6"/>
      <c r="AV217" s="6"/>
      <c r="AW217" s="6"/>
      <c r="AX217" s="6"/>
      <c r="AY217" s="6"/>
      <c r="AZ217" s="6"/>
      <c r="BA217" s="6"/>
      <c r="BB217" s="6"/>
      <c r="BC217" s="7"/>
      <c r="BD217" s="6"/>
      <c r="BE217" s="6"/>
      <c r="BF217" s="6"/>
      <c r="BG217" s="6"/>
      <c r="BH217" s="6"/>
      <c r="BI217" s="6"/>
      <c r="BJ217" s="6"/>
      <c r="BK217" s="6"/>
      <c r="BL217" s="6"/>
      <c r="BM217" s="6"/>
    </row>
    <row r="218" spans="1:65" ht="21" customHeight="1">
      <c r="A218" s="87" t="s">
        <v>10</v>
      </c>
      <c r="B218" s="5"/>
      <c r="C218" s="5"/>
      <c r="D218" s="5"/>
      <c r="E218" s="5"/>
      <c r="F218" s="5"/>
      <c r="G218" s="6"/>
      <c r="H218" s="6"/>
      <c r="I218" s="6"/>
      <c r="J218" s="6"/>
      <c r="K218" s="6"/>
      <c r="L218" s="6"/>
      <c r="M218" s="6"/>
      <c r="N218" s="7"/>
      <c r="O218" s="6"/>
      <c r="P218" s="48"/>
      <c r="Q218" s="6"/>
      <c r="R218" s="6"/>
      <c r="S218" s="6"/>
      <c r="T218" s="6"/>
      <c r="U218" s="6"/>
      <c r="V218" s="6"/>
      <c r="W218" s="6"/>
      <c r="X218" s="6"/>
      <c r="Y218" s="6"/>
      <c r="Z218" s="6"/>
      <c r="AA218" s="6"/>
      <c r="AB218" s="6"/>
      <c r="AC218" s="6"/>
      <c r="AD218" s="6"/>
      <c r="AE218" s="6"/>
      <c r="AF218" s="6"/>
      <c r="AG218" s="6"/>
      <c r="AH218" s="6"/>
      <c r="AI218" s="6"/>
      <c r="AJ218" s="6"/>
      <c r="AK218" s="6"/>
      <c r="AL218" s="5"/>
      <c r="AM218" s="5"/>
      <c r="AN218" s="5"/>
      <c r="AO218" s="5"/>
      <c r="AP218" s="5"/>
      <c r="AQ218" s="5"/>
      <c r="AR218" s="5"/>
      <c r="AS218" s="6"/>
      <c r="AT218" s="6"/>
      <c r="AU218" s="6"/>
      <c r="AV218" s="6"/>
      <c r="AW218" s="6"/>
      <c r="AX218" s="6"/>
      <c r="AY218" s="6"/>
      <c r="AZ218" s="6"/>
      <c r="BA218" s="6"/>
      <c r="BB218" s="6"/>
      <c r="BC218" s="7"/>
      <c r="BD218" s="6"/>
      <c r="BE218" s="6"/>
      <c r="BF218" s="6"/>
      <c r="BG218" s="6"/>
      <c r="BH218" s="6"/>
      <c r="BI218" s="6"/>
      <c r="BJ218" s="6"/>
      <c r="BK218" s="6"/>
      <c r="BL218" s="6"/>
      <c r="BM218" s="6"/>
    </row>
    <row r="219" spans="1:65" ht="21" customHeight="1">
      <c r="A219" s="5"/>
      <c r="B219" s="5" t="s">
        <v>332</v>
      </c>
      <c r="C219" s="5"/>
      <c r="D219" s="5"/>
      <c r="E219" s="5"/>
      <c r="F219" s="5"/>
      <c r="G219" s="6"/>
      <c r="H219" s="28">
        <v>383111</v>
      </c>
      <c r="I219" s="28">
        <v>642208</v>
      </c>
      <c r="J219" s="28">
        <v>567500</v>
      </c>
      <c r="K219" s="28">
        <v>736121</v>
      </c>
      <c r="L219" s="28">
        <v>811376</v>
      </c>
      <c r="M219" s="28">
        <v>783202</v>
      </c>
      <c r="N219" s="29">
        <v>264175</v>
      </c>
      <c r="O219" s="28">
        <v>48292</v>
      </c>
      <c r="P219" s="48"/>
      <c r="Q219" s="6"/>
      <c r="R219" s="6"/>
      <c r="S219" s="6"/>
      <c r="T219" s="6"/>
      <c r="U219" s="6"/>
      <c r="V219" s="6"/>
      <c r="W219" s="6"/>
      <c r="X219" s="6"/>
      <c r="Y219" s="6"/>
      <c r="Z219" s="6"/>
      <c r="AA219" s="6"/>
      <c r="AB219" s="6"/>
      <c r="AC219" s="6"/>
      <c r="AD219" s="6"/>
      <c r="AE219" s="6"/>
      <c r="AF219" s="6"/>
      <c r="AG219" s="6"/>
      <c r="AH219" s="6"/>
      <c r="AI219" s="6"/>
      <c r="AJ219" s="6"/>
      <c r="AK219" s="6"/>
      <c r="AL219" s="5"/>
      <c r="AM219" s="5"/>
      <c r="AN219" s="5"/>
      <c r="AO219" s="5"/>
      <c r="AP219" s="5"/>
      <c r="AQ219" s="5"/>
      <c r="AR219" s="5"/>
      <c r="AS219" s="6"/>
      <c r="AT219" s="6"/>
      <c r="AU219" s="6"/>
      <c r="AV219" s="6"/>
      <c r="AW219" s="6"/>
      <c r="AX219" s="6"/>
      <c r="AY219" s="6"/>
      <c r="AZ219" s="6"/>
      <c r="BA219" s="6"/>
      <c r="BB219" s="6"/>
      <c r="BC219" s="7"/>
      <c r="BD219" s="6"/>
      <c r="BE219" s="6"/>
      <c r="BF219" s="6"/>
      <c r="BG219" s="6"/>
      <c r="BH219" s="6"/>
      <c r="BI219" s="6"/>
      <c r="BJ219" s="6"/>
      <c r="BK219" s="6"/>
      <c r="BL219" s="6"/>
      <c r="BM219" s="6"/>
    </row>
    <row r="220" spans="1:65" ht="21" customHeight="1">
      <c r="A220" s="5"/>
      <c r="B220" s="5"/>
      <c r="C220" s="5" t="s">
        <v>333</v>
      </c>
      <c r="D220" s="5"/>
      <c r="E220" s="5"/>
      <c r="F220" s="5"/>
      <c r="G220" s="6"/>
      <c r="H220" s="6">
        <v>383111</v>
      </c>
      <c r="I220" s="6">
        <v>526458</v>
      </c>
      <c r="J220" s="6">
        <v>567500</v>
      </c>
      <c r="K220" s="6">
        <v>669821</v>
      </c>
      <c r="L220" s="6">
        <v>748676</v>
      </c>
      <c r="M220" s="6">
        <v>783202</v>
      </c>
      <c r="N220" s="7">
        <v>264175</v>
      </c>
      <c r="O220" s="6">
        <v>48292</v>
      </c>
      <c r="P220" s="48"/>
      <c r="Q220" s="6"/>
      <c r="R220" s="6"/>
      <c r="S220" s="6"/>
      <c r="T220" s="6"/>
      <c r="U220" s="6"/>
      <c r="V220" s="6"/>
      <c r="W220" s="6"/>
      <c r="X220" s="6"/>
      <c r="Y220" s="6"/>
      <c r="Z220" s="6"/>
      <c r="AA220" s="6"/>
      <c r="AB220" s="6"/>
      <c r="AC220" s="6"/>
      <c r="AD220" s="6"/>
      <c r="AE220" s="6"/>
      <c r="AF220" s="6"/>
      <c r="AG220" s="6"/>
      <c r="AH220" s="6"/>
      <c r="AI220" s="6"/>
      <c r="AJ220" s="6"/>
      <c r="AK220" s="6"/>
      <c r="AL220" s="5"/>
      <c r="AM220" s="5"/>
      <c r="AN220" s="5"/>
      <c r="AO220" s="5"/>
      <c r="AP220" s="5"/>
      <c r="AQ220" s="5"/>
      <c r="AR220" s="5"/>
      <c r="AS220" s="6"/>
      <c r="AT220" s="6"/>
      <c r="AU220" s="6"/>
      <c r="AV220" s="6"/>
      <c r="AW220" s="6"/>
      <c r="AX220" s="6"/>
      <c r="AY220" s="6"/>
      <c r="AZ220" s="6"/>
      <c r="BA220" s="6"/>
      <c r="BB220" s="6"/>
      <c r="BC220" s="7"/>
      <c r="BD220" s="6"/>
      <c r="BE220" s="6"/>
      <c r="BF220" s="6"/>
      <c r="BG220" s="6"/>
      <c r="BH220" s="6"/>
      <c r="BI220" s="6"/>
      <c r="BJ220" s="6"/>
      <c r="BK220" s="6"/>
      <c r="BL220" s="6"/>
      <c r="BM220" s="6"/>
    </row>
    <row r="221" spans="1:65" ht="21" customHeight="1">
      <c r="A221" s="5"/>
      <c r="B221" s="5"/>
      <c r="C221" s="91" t="s">
        <v>11</v>
      </c>
      <c r="D221" s="91"/>
      <c r="E221" s="91"/>
      <c r="F221" s="5"/>
      <c r="G221" s="6"/>
      <c r="H221" s="6"/>
      <c r="I221" s="6"/>
      <c r="J221" s="6"/>
      <c r="K221" s="92">
        <v>66300</v>
      </c>
      <c r="L221" s="92">
        <v>62700</v>
      </c>
      <c r="M221" s="6"/>
      <c r="N221" s="7"/>
      <c r="O221" s="6"/>
      <c r="P221" s="48"/>
      <c r="Q221" s="6"/>
      <c r="R221" s="6"/>
      <c r="S221" s="6"/>
      <c r="T221" s="6"/>
      <c r="U221" s="6"/>
      <c r="V221" s="6"/>
      <c r="W221" s="6"/>
      <c r="X221" s="6"/>
      <c r="Y221" s="6"/>
      <c r="Z221" s="6"/>
      <c r="AA221" s="6"/>
      <c r="AB221" s="6"/>
      <c r="AC221" s="6"/>
      <c r="AD221" s="6"/>
      <c r="AE221" s="6"/>
      <c r="AF221" s="6"/>
      <c r="AG221" s="6"/>
      <c r="AH221" s="6"/>
      <c r="AI221" s="6"/>
      <c r="AJ221" s="6"/>
      <c r="AK221" s="6"/>
      <c r="AL221" s="5"/>
      <c r="AM221" s="5"/>
      <c r="AN221" s="5"/>
      <c r="AO221" s="5"/>
      <c r="AP221" s="5"/>
      <c r="AQ221" s="5"/>
      <c r="AR221" s="5"/>
      <c r="AS221" s="6"/>
      <c r="AT221" s="6"/>
      <c r="AU221" s="6"/>
      <c r="AV221" s="6"/>
      <c r="AW221" s="6"/>
      <c r="AX221" s="6"/>
      <c r="AY221" s="6"/>
      <c r="AZ221" s="6"/>
      <c r="BA221" s="6"/>
      <c r="BB221" s="6"/>
      <c r="BC221" s="7"/>
      <c r="BD221" s="6"/>
      <c r="BE221" s="6"/>
      <c r="BF221" s="6"/>
      <c r="BG221" s="6"/>
      <c r="BH221" s="6"/>
      <c r="BI221" s="6"/>
      <c r="BJ221" s="6"/>
      <c r="BK221" s="6"/>
      <c r="BL221" s="6"/>
      <c r="BM221" s="6"/>
    </row>
    <row r="222" spans="1:65" ht="21" customHeight="1">
      <c r="A222" s="5"/>
      <c r="B222" s="5"/>
      <c r="C222" s="5" t="s">
        <v>335</v>
      </c>
      <c r="D222" s="5"/>
      <c r="E222" s="5"/>
      <c r="F222" s="5"/>
      <c r="G222" s="6"/>
      <c r="H222" s="6"/>
      <c r="I222" s="6">
        <v>115750</v>
      </c>
      <c r="J222" s="6"/>
      <c r="K222" s="6"/>
      <c r="L222" s="6"/>
      <c r="M222" s="6"/>
      <c r="N222" s="7"/>
      <c r="O222" s="6"/>
      <c r="P222" s="48"/>
      <c r="Q222" s="6"/>
      <c r="R222" s="6"/>
      <c r="S222" s="6"/>
      <c r="T222" s="6"/>
      <c r="U222" s="6"/>
      <c r="V222" s="6"/>
      <c r="W222" s="6"/>
      <c r="X222" s="6"/>
      <c r="Y222" s="6"/>
      <c r="Z222" s="6"/>
      <c r="AA222" s="6"/>
      <c r="AB222" s="6"/>
      <c r="AC222" s="6"/>
      <c r="AD222" s="6"/>
      <c r="AE222" s="6"/>
      <c r="AF222" s="6"/>
      <c r="AG222" s="6"/>
      <c r="AH222" s="6"/>
      <c r="AI222" s="6"/>
      <c r="AJ222" s="6"/>
      <c r="AK222" s="6"/>
      <c r="AL222" s="5"/>
      <c r="AM222" s="5"/>
      <c r="AN222" s="5"/>
      <c r="AO222" s="5"/>
      <c r="AP222" s="5"/>
      <c r="AQ222" s="5"/>
      <c r="AR222" s="5"/>
      <c r="AS222" s="6"/>
      <c r="AT222" s="6"/>
      <c r="AU222" s="6"/>
      <c r="AV222" s="6"/>
      <c r="AW222" s="6"/>
      <c r="AX222" s="6"/>
      <c r="AY222" s="6"/>
      <c r="AZ222" s="6"/>
      <c r="BA222" s="6"/>
      <c r="BB222" s="6"/>
      <c r="BC222" s="7"/>
      <c r="BD222" s="6"/>
      <c r="BE222" s="6"/>
      <c r="BF222" s="6"/>
      <c r="BG222" s="6"/>
      <c r="BH222" s="6"/>
      <c r="BI222" s="6"/>
      <c r="BJ222" s="6"/>
      <c r="BK222" s="6"/>
      <c r="BL222" s="6"/>
      <c r="BM222" s="6"/>
    </row>
    <row r="223" spans="1:65" ht="21" customHeight="1">
      <c r="A223" s="5"/>
      <c r="B223" s="5"/>
      <c r="C223" s="5"/>
      <c r="D223" s="5"/>
      <c r="E223" s="5"/>
      <c r="F223" s="5"/>
      <c r="G223" s="6"/>
      <c r="H223" s="6"/>
      <c r="I223" s="6"/>
      <c r="J223" s="6"/>
      <c r="K223" s="6"/>
      <c r="L223" s="6"/>
      <c r="M223" s="6"/>
      <c r="N223" s="7"/>
      <c r="O223" s="6"/>
      <c r="P223" s="48"/>
      <c r="Q223" s="6"/>
      <c r="R223" s="6"/>
      <c r="S223" s="6"/>
      <c r="T223" s="6"/>
      <c r="U223" s="6"/>
      <c r="V223" s="6"/>
      <c r="W223" s="6"/>
      <c r="X223" s="6"/>
      <c r="Y223" s="6"/>
      <c r="Z223" s="6"/>
      <c r="AA223" s="6"/>
      <c r="AB223" s="6"/>
      <c r="AC223" s="6"/>
      <c r="AD223" s="6"/>
      <c r="AE223" s="6"/>
      <c r="AF223" s="6"/>
      <c r="AG223" s="6"/>
      <c r="AH223" s="6"/>
      <c r="AI223" s="6"/>
      <c r="AJ223" s="6"/>
      <c r="AK223" s="6"/>
      <c r="AL223" s="5"/>
      <c r="AM223" s="5"/>
      <c r="AN223" s="5"/>
      <c r="AO223" s="5"/>
      <c r="AP223" s="5"/>
      <c r="AQ223" s="5"/>
      <c r="AR223" s="5"/>
      <c r="AS223" s="6"/>
      <c r="AT223" s="6"/>
      <c r="AU223" s="6"/>
      <c r="AV223" s="6"/>
      <c r="AW223" s="6"/>
      <c r="AX223" s="6"/>
      <c r="AY223" s="6"/>
      <c r="AZ223" s="6"/>
      <c r="BA223" s="6"/>
      <c r="BB223" s="6"/>
      <c r="BC223" s="7"/>
      <c r="BD223" s="6"/>
      <c r="BE223" s="6"/>
      <c r="BF223" s="6"/>
      <c r="BG223" s="6"/>
      <c r="BH223" s="6"/>
      <c r="BI223" s="6"/>
      <c r="BJ223" s="6"/>
      <c r="BK223" s="6"/>
      <c r="BL223" s="6"/>
      <c r="BM223" s="6"/>
    </row>
    <row r="224" spans="1:65" ht="21" customHeight="1">
      <c r="A224" s="4" t="s">
        <v>12</v>
      </c>
      <c r="B224" s="5"/>
      <c r="C224" s="5"/>
      <c r="D224" s="5"/>
      <c r="E224" s="5"/>
      <c r="F224" s="5"/>
      <c r="G224" s="6"/>
      <c r="H224" s="6"/>
      <c r="I224" s="6"/>
      <c r="J224" s="6"/>
      <c r="K224" s="6"/>
      <c r="L224" s="6"/>
      <c r="M224" s="6"/>
      <c r="N224" s="7"/>
      <c r="O224" s="6"/>
      <c r="P224" s="48"/>
      <c r="Q224" s="6"/>
      <c r="R224" s="6"/>
      <c r="S224" s="6"/>
      <c r="T224" s="6"/>
      <c r="U224" s="6"/>
      <c r="V224" s="6"/>
      <c r="W224" s="6"/>
      <c r="X224" s="6"/>
      <c r="Y224" s="6"/>
      <c r="Z224" s="6"/>
      <c r="AA224" s="6"/>
      <c r="AB224" s="6"/>
      <c r="AC224" s="6"/>
      <c r="AD224" s="6"/>
      <c r="AE224" s="6"/>
      <c r="AF224" s="6"/>
      <c r="AG224" s="6"/>
      <c r="AH224" s="6"/>
      <c r="AI224" s="6"/>
      <c r="AJ224" s="6"/>
      <c r="AK224" s="6"/>
      <c r="AL224" s="5"/>
      <c r="AM224" s="5"/>
      <c r="AN224" s="5"/>
      <c r="AO224" s="5"/>
      <c r="AP224" s="5"/>
      <c r="AQ224" s="5"/>
      <c r="AR224" s="5"/>
      <c r="AS224" s="6"/>
      <c r="AT224" s="6"/>
      <c r="AU224" s="6"/>
      <c r="AV224" s="6"/>
      <c r="AW224" s="6"/>
      <c r="AX224" s="6"/>
      <c r="AY224" s="6"/>
      <c r="AZ224" s="6"/>
      <c r="BA224" s="6"/>
      <c r="BB224" s="6"/>
      <c r="BC224" s="7"/>
      <c r="BD224" s="6"/>
      <c r="BE224" s="6"/>
      <c r="BF224" s="6"/>
      <c r="BG224" s="6"/>
      <c r="BH224" s="6"/>
      <c r="BI224" s="6"/>
      <c r="BJ224" s="6"/>
      <c r="BK224" s="6"/>
      <c r="BL224" s="6"/>
      <c r="BM224" s="6"/>
    </row>
    <row r="225" spans="1:65" ht="21" customHeight="1">
      <c r="A225" s="5"/>
      <c r="B225" s="5" t="s">
        <v>332</v>
      </c>
      <c r="C225" s="5"/>
      <c r="D225" s="5"/>
      <c r="E225" s="5"/>
      <c r="F225" s="5"/>
      <c r="G225" s="6"/>
      <c r="H225" s="6"/>
      <c r="I225" s="6"/>
      <c r="J225" s="6"/>
      <c r="K225" s="6"/>
      <c r="L225" s="6"/>
      <c r="M225" s="28">
        <v>1602761</v>
      </c>
      <c r="N225" s="29">
        <v>3046157</v>
      </c>
      <c r="O225" s="28">
        <v>2089010</v>
      </c>
      <c r="P225" s="93">
        <v>2809340</v>
      </c>
      <c r="Q225" s="28">
        <v>3071267</v>
      </c>
      <c r="R225" s="28">
        <v>3747176</v>
      </c>
      <c r="S225" s="28">
        <v>3083599</v>
      </c>
      <c r="T225" s="6"/>
      <c r="U225" s="6"/>
      <c r="V225" s="6"/>
      <c r="W225" s="6"/>
      <c r="X225" s="6"/>
      <c r="Y225" s="6"/>
      <c r="Z225" s="6"/>
      <c r="AA225" s="6"/>
      <c r="AB225" s="6"/>
      <c r="AC225" s="6"/>
      <c r="AD225" s="6"/>
      <c r="AE225" s="6"/>
      <c r="AF225" s="6"/>
      <c r="AG225" s="6"/>
      <c r="AH225" s="6"/>
      <c r="AI225" s="6"/>
      <c r="AJ225" s="6"/>
      <c r="AK225" s="6"/>
      <c r="AL225" s="5"/>
      <c r="AM225" s="5"/>
      <c r="AN225" s="5"/>
      <c r="AO225" s="5"/>
      <c r="AP225" s="5"/>
      <c r="AQ225" s="5"/>
      <c r="AR225" s="5"/>
      <c r="AS225" s="6"/>
      <c r="AT225" s="6"/>
      <c r="AU225" s="6"/>
      <c r="AV225" s="6"/>
      <c r="AW225" s="6"/>
      <c r="AX225" s="6"/>
      <c r="AY225" s="6"/>
      <c r="AZ225" s="6"/>
      <c r="BA225" s="6"/>
      <c r="BB225" s="6"/>
      <c r="BC225" s="7"/>
      <c r="BD225" s="6"/>
      <c r="BE225" s="6"/>
      <c r="BF225" s="6"/>
      <c r="BG225" s="6"/>
      <c r="BH225" s="6"/>
      <c r="BI225" s="6"/>
      <c r="BJ225" s="6"/>
      <c r="BK225" s="6"/>
      <c r="BL225" s="6"/>
      <c r="BM225" s="6"/>
    </row>
    <row r="226" spans="1:65" ht="21" customHeight="1">
      <c r="A226" s="5"/>
      <c r="B226" s="5"/>
      <c r="C226" s="5" t="s">
        <v>338</v>
      </c>
      <c r="D226" s="5"/>
      <c r="E226" s="5"/>
      <c r="F226" s="5"/>
      <c r="G226" s="6"/>
      <c r="H226" s="6"/>
      <c r="I226" s="6"/>
      <c r="J226" s="6"/>
      <c r="K226" s="6"/>
      <c r="L226" s="6"/>
      <c r="M226" s="6">
        <v>7007</v>
      </c>
      <c r="N226" s="7">
        <v>4735</v>
      </c>
      <c r="O226" s="6">
        <v>3327</v>
      </c>
      <c r="P226" s="48">
        <v>3076</v>
      </c>
      <c r="Q226" s="6">
        <v>3291</v>
      </c>
      <c r="R226" s="6">
        <v>2676</v>
      </c>
      <c r="S226" s="6">
        <v>1409</v>
      </c>
      <c r="T226" s="6"/>
      <c r="U226" s="6"/>
      <c r="V226" s="6"/>
      <c r="W226" s="6"/>
      <c r="X226" s="6"/>
      <c r="Y226" s="6"/>
      <c r="Z226" s="6"/>
      <c r="AA226" s="6"/>
      <c r="AB226" s="6"/>
      <c r="AC226" s="6"/>
      <c r="AD226" s="6"/>
      <c r="AE226" s="6"/>
      <c r="AF226" s="6"/>
      <c r="AG226" s="6"/>
      <c r="AH226" s="6"/>
      <c r="AI226" s="6"/>
      <c r="AJ226" s="6"/>
      <c r="AK226" s="6"/>
      <c r="AL226" s="5"/>
      <c r="AM226" s="5"/>
      <c r="AN226" s="5"/>
      <c r="AO226" s="5"/>
      <c r="AP226" s="5"/>
      <c r="AQ226" s="5"/>
      <c r="AR226" s="5"/>
      <c r="AS226" s="6"/>
      <c r="AT226" s="6"/>
      <c r="AU226" s="6"/>
      <c r="AV226" s="6"/>
      <c r="AW226" s="6"/>
      <c r="AX226" s="6"/>
      <c r="AY226" s="6"/>
      <c r="AZ226" s="6"/>
      <c r="BA226" s="6"/>
      <c r="BB226" s="6"/>
      <c r="BC226" s="7"/>
      <c r="BD226" s="6"/>
      <c r="BE226" s="6"/>
      <c r="BF226" s="6"/>
      <c r="BG226" s="6"/>
      <c r="BH226" s="6"/>
      <c r="BI226" s="6"/>
      <c r="BJ226" s="6"/>
      <c r="BK226" s="6"/>
      <c r="BL226" s="6"/>
      <c r="BM226" s="6"/>
    </row>
    <row r="227" spans="1:65" ht="21" customHeight="1">
      <c r="A227" s="5"/>
      <c r="B227" s="5"/>
      <c r="C227" s="91" t="s">
        <v>347</v>
      </c>
      <c r="D227" s="91"/>
      <c r="E227" s="91"/>
      <c r="F227" s="5"/>
      <c r="G227" s="6"/>
      <c r="H227" s="6"/>
      <c r="I227" s="6"/>
      <c r="J227" s="6"/>
      <c r="K227" s="6"/>
      <c r="L227" s="6"/>
      <c r="M227" s="92">
        <v>1500000</v>
      </c>
      <c r="N227" s="94">
        <v>2900000</v>
      </c>
      <c r="O227" s="92">
        <v>2000000</v>
      </c>
      <c r="P227" s="95">
        <v>2800000</v>
      </c>
      <c r="Q227" s="92">
        <v>3066976</v>
      </c>
      <c r="R227" s="92">
        <v>3743500</v>
      </c>
      <c r="S227" s="92">
        <v>3081190</v>
      </c>
      <c r="T227" s="6"/>
      <c r="U227" s="6"/>
      <c r="V227" s="6"/>
      <c r="W227" s="6"/>
      <c r="X227" s="6"/>
      <c r="Y227" s="6"/>
      <c r="Z227" s="6"/>
      <c r="AA227" s="6"/>
      <c r="AB227" s="6"/>
      <c r="AC227" s="6"/>
      <c r="AD227" s="6"/>
      <c r="AE227" s="6"/>
      <c r="AF227" s="6"/>
      <c r="AG227" s="6"/>
      <c r="AH227" s="6"/>
      <c r="AI227" s="6"/>
      <c r="AJ227" s="6"/>
      <c r="AK227" s="6"/>
      <c r="AL227" s="5"/>
      <c r="AM227" s="5"/>
      <c r="AN227" s="5"/>
      <c r="AO227" s="5"/>
      <c r="AP227" s="5"/>
      <c r="AQ227" s="5"/>
      <c r="AR227" s="5"/>
      <c r="AS227" s="6"/>
      <c r="AT227" s="6"/>
      <c r="AU227" s="6"/>
      <c r="AV227" s="6"/>
      <c r="AW227" s="6"/>
      <c r="AX227" s="6"/>
      <c r="AY227" s="6"/>
      <c r="AZ227" s="6"/>
      <c r="BA227" s="6"/>
      <c r="BB227" s="6"/>
      <c r="BC227" s="7"/>
      <c r="BD227" s="6"/>
      <c r="BE227" s="6"/>
      <c r="BF227" s="6"/>
      <c r="BG227" s="6"/>
      <c r="BH227" s="6"/>
      <c r="BI227" s="6"/>
      <c r="BJ227" s="6"/>
      <c r="BK227" s="6"/>
      <c r="BL227" s="6"/>
      <c r="BM227" s="6"/>
    </row>
    <row r="228" spans="1:65" ht="21" customHeight="1">
      <c r="A228" s="5"/>
      <c r="B228" s="5"/>
      <c r="C228" s="5" t="s">
        <v>335</v>
      </c>
      <c r="D228" s="5"/>
      <c r="E228" s="5"/>
      <c r="F228" s="5"/>
      <c r="G228" s="6"/>
      <c r="H228" s="6"/>
      <c r="I228" s="6"/>
      <c r="J228" s="6"/>
      <c r="K228" s="6"/>
      <c r="L228" s="6"/>
      <c r="M228" s="6">
        <v>95754</v>
      </c>
      <c r="N228" s="7">
        <v>141422</v>
      </c>
      <c r="O228" s="6">
        <v>85683</v>
      </c>
      <c r="P228" s="48">
        <v>6264</v>
      </c>
      <c r="Q228" s="6">
        <v>1000</v>
      </c>
      <c r="R228" s="6">
        <v>1000</v>
      </c>
      <c r="S228" s="6">
        <v>1000</v>
      </c>
      <c r="T228" s="6"/>
      <c r="U228" s="6"/>
      <c r="V228" s="6"/>
      <c r="W228" s="6"/>
      <c r="X228" s="6"/>
      <c r="Y228" s="6"/>
      <c r="Z228" s="6"/>
      <c r="AA228" s="6"/>
      <c r="AB228" s="6"/>
      <c r="AC228" s="6"/>
      <c r="AD228" s="6"/>
      <c r="AE228" s="6"/>
      <c r="AF228" s="6"/>
      <c r="AG228" s="6"/>
      <c r="AH228" s="6"/>
      <c r="AI228" s="6"/>
      <c r="AJ228" s="6"/>
      <c r="AK228" s="6"/>
      <c r="AL228" s="5"/>
      <c r="AM228" s="5"/>
      <c r="AN228" s="5"/>
      <c r="AO228" s="5"/>
      <c r="AP228" s="5"/>
      <c r="AQ228" s="5"/>
      <c r="AR228" s="5"/>
      <c r="AS228" s="6"/>
      <c r="AT228" s="6"/>
      <c r="AU228" s="6"/>
      <c r="AV228" s="6"/>
      <c r="AW228" s="6"/>
      <c r="AX228" s="6"/>
      <c r="AY228" s="6"/>
      <c r="AZ228" s="6"/>
      <c r="BA228" s="6"/>
      <c r="BB228" s="6"/>
      <c r="BC228" s="7"/>
      <c r="BD228" s="6"/>
      <c r="BE228" s="6"/>
      <c r="BF228" s="6"/>
      <c r="BG228" s="6"/>
      <c r="BH228" s="6"/>
      <c r="BI228" s="6"/>
      <c r="BJ228" s="6"/>
      <c r="BK228" s="6"/>
      <c r="BL228" s="6"/>
      <c r="BM228" s="6"/>
    </row>
    <row r="229" spans="1:65" ht="21" customHeight="1">
      <c r="A229" s="5"/>
      <c r="B229" s="5"/>
      <c r="C229" s="5"/>
      <c r="D229" s="5"/>
      <c r="E229" s="5"/>
      <c r="F229" s="5"/>
      <c r="G229" s="6"/>
      <c r="H229" s="6"/>
      <c r="I229" s="6"/>
      <c r="J229" s="6"/>
      <c r="K229" s="6"/>
      <c r="L229" s="6"/>
      <c r="M229" s="6"/>
      <c r="N229" s="7"/>
      <c r="O229" s="6"/>
      <c r="P229" s="6"/>
      <c r="Q229" s="6"/>
      <c r="R229" s="6"/>
      <c r="S229" s="6"/>
      <c r="T229" s="6"/>
      <c r="U229" s="6"/>
      <c r="V229" s="6"/>
      <c r="W229" s="6"/>
      <c r="X229" s="6"/>
      <c r="Y229" s="6"/>
      <c r="Z229" s="6"/>
      <c r="AA229" s="6"/>
      <c r="AB229" s="6"/>
      <c r="AC229" s="6"/>
      <c r="AD229" s="6"/>
      <c r="AE229" s="6"/>
      <c r="AF229" s="6"/>
      <c r="AG229" s="6"/>
      <c r="AH229" s="6"/>
      <c r="AI229" s="6"/>
      <c r="AJ229" s="6"/>
      <c r="AK229" s="6"/>
      <c r="AL229" s="5"/>
      <c r="AM229" s="5"/>
      <c r="AN229" s="5"/>
      <c r="AO229" s="5"/>
      <c r="AP229" s="5"/>
      <c r="AQ229" s="5"/>
      <c r="AR229" s="5"/>
      <c r="AS229" s="6"/>
      <c r="AT229" s="6"/>
      <c r="AU229" s="6"/>
      <c r="AV229" s="6"/>
      <c r="AW229" s="6"/>
      <c r="AX229" s="6"/>
      <c r="AY229" s="6"/>
      <c r="AZ229" s="6"/>
      <c r="BA229" s="6"/>
      <c r="BB229" s="6"/>
      <c r="BC229" s="7"/>
      <c r="BD229" s="6"/>
      <c r="BE229" s="6"/>
      <c r="BF229" s="6"/>
      <c r="BG229" s="6"/>
      <c r="BH229" s="6"/>
      <c r="BI229" s="6"/>
      <c r="BJ229" s="6"/>
      <c r="BK229" s="6"/>
      <c r="BL229" s="6"/>
      <c r="BM229" s="6"/>
    </row>
    <row r="230" spans="1:65" ht="21" customHeight="1">
      <c r="A230" s="4" t="s">
        <v>13</v>
      </c>
      <c r="B230" s="5"/>
      <c r="C230" s="5"/>
      <c r="D230" s="5"/>
      <c r="E230" s="5"/>
      <c r="F230" s="5"/>
      <c r="G230" s="6"/>
      <c r="H230" s="6"/>
      <c r="I230" s="6"/>
      <c r="J230" s="6"/>
      <c r="K230" s="6"/>
      <c r="L230" s="6"/>
      <c r="M230" s="6"/>
      <c r="N230" s="7"/>
      <c r="O230" s="6"/>
      <c r="P230" s="6"/>
      <c r="Q230" s="6"/>
      <c r="R230" s="6"/>
      <c r="S230" s="6"/>
      <c r="T230" s="6"/>
      <c r="U230" s="6"/>
      <c r="V230" s="6"/>
      <c r="W230" s="6"/>
      <c r="X230" s="6"/>
      <c r="Y230" s="6"/>
      <c r="Z230" s="6"/>
      <c r="AA230" s="6"/>
      <c r="AB230" s="6"/>
      <c r="AC230" s="6"/>
      <c r="AD230" s="6"/>
      <c r="AE230" s="6"/>
      <c r="AF230" s="6"/>
      <c r="AG230" s="6"/>
      <c r="AH230" s="6"/>
      <c r="AI230" s="6"/>
      <c r="AJ230" s="6"/>
      <c r="AK230" s="6"/>
      <c r="AL230" s="5"/>
      <c r="AM230" s="5"/>
      <c r="AN230" s="5"/>
      <c r="AO230" s="5"/>
      <c r="AP230" s="5"/>
      <c r="AQ230" s="5"/>
      <c r="AR230" s="5"/>
      <c r="AS230" s="6"/>
      <c r="AT230" s="6"/>
      <c r="AU230" s="6"/>
      <c r="AV230" s="6"/>
      <c r="AW230" s="6"/>
      <c r="AX230" s="6"/>
      <c r="AY230" s="6"/>
      <c r="AZ230" s="6"/>
      <c r="BA230" s="6"/>
      <c r="BB230" s="6"/>
      <c r="BC230" s="7"/>
      <c r="BD230" s="6"/>
      <c r="BE230" s="6"/>
      <c r="BF230" s="6"/>
      <c r="BG230" s="6"/>
      <c r="BH230" s="6"/>
      <c r="BI230" s="6"/>
      <c r="BJ230" s="6"/>
      <c r="BK230" s="6"/>
      <c r="BL230" s="6"/>
      <c r="BM230" s="6"/>
    </row>
    <row r="231" spans="1:65" ht="21" customHeight="1">
      <c r="A231" s="5"/>
      <c r="B231" s="5" t="s">
        <v>332</v>
      </c>
      <c r="C231" s="5"/>
      <c r="D231" s="5"/>
      <c r="E231" s="5"/>
      <c r="F231" s="5"/>
      <c r="G231" s="6"/>
      <c r="H231" s="6"/>
      <c r="I231" s="6"/>
      <c r="J231" s="6"/>
      <c r="K231" s="6"/>
      <c r="L231" s="6"/>
      <c r="M231" s="6"/>
      <c r="N231" s="7"/>
      <c r="O231" s="6"/>
      <c r="P231" s="6"/>
      <c r="Q231" s="6"/>
      <c r="R231" s="6"/>
      <c r="S231" s="6"/>
      <c r="T231" s="6"/>
      <c r="U231" s="6"/>
      <c r="V231" s="6"/>
      <c r="W231" s="6"/>
      <c r="X231" s="6"/>
      <c r="Y231" s="6"/>
      <c r="Z231" s="6"/>
      <c r="AA231" s="6"/>
      <c r="AB231" s="6"/>
      <c r="AC231" s="6"/>
      <c r="AD231" s="6"/>
      <c r="AE231" s="6"/>
      <c r="AF231" s="6"/>
      <c r="AG231" s="6"/>
      <c r="AH231" s="6"/>
      <c r="AI231" s="6"/>
      <c r="AJ231" s="6"/>
      <c r="AK231" s="6"/>
      <c r="AL231" s="5"/>
      <c r="AM231" s="5"/>
      <c r="AN231" s="5"/>
      <c r="AO231" s="9">
        <f aca="true" t="shared" si="22" ref="AO231:BM231">SUM(AO232:AO236)</f>
        <v>25134002</v>
      </c>
      <c r="AP231" s="9">
        <f t="shared" si="22"/>
        <v>40140345</v>
      </c>
      <c r="AQ231" s="9">
        <f t="shared" si="22"/>
        <v>45040515</v>
      </c>
      <c r="AR231" s="9">
        <f t="shared" si="22"/>
        <v>53312081</v>
      </c>
      <c r="AS231" s="9">
        <f t="shared" si="22"/>
        <v>59921301</v>
      </c>
      <c r="AT231" s="9">
        <f t="shared" si="22"/>
        <v>56247466</v>
      </c>
      <c r="AU231" s="9">
        <f t="shared" si="22"/>
        <v>58231550</v>
      </c>
      <c r="AV231" s="9">
        <f t="shared" si="22"/>
        <v>62454406</v>
      </c>
      <c r="AW231" s="9">
        <f t="shared" si="22"/>
        <v>72110797</v>
      </c>
      <c r="AX231" s="9">
        <f t="shared" si="22"/>
        <v>73192563</v>
      </c>
      <c r="AY231" s="9">
        <f t="shared" si="22"/>
        <v>75340404</v>
      </c>
      <c r="AZ231" s="9">
        <f t="shared" si="22"/>
        <v>76370951</v>
      </c>
      <c r="BA231" s="9">
        <f t="shared" si="22"/>
        <v>78988449</v>
      </c>
      <c r="BB231" s="9">
        <f t="shared" si="22"/>
        <v>87084223</v>
      </c>
      <c r="BC231" s="10">
        <f t="shared" si="22"/>
        <v>91392892</v>
      </c>
      <c r="BD231" s="9">
        <f t="shared" si="22"/>
        <v>99335241</v>
      </c>
      <c r="BE231" s="9">
        <f t="shared" si="22"/>
        <v>104084806</v>
      </c>
      <c r="BF231" s="9">
        <f t="shared" si="22"/>
        <v>107371178</v>
      </c>
      <c r="BG231" s="9">
        <f t="shared" si="22"/>
        <v>110860544</v>
      </c>
      <c r="BH231" s="9">
        <f t="shared" si="22"/>
        <v>115619074</v>
      </c>
      <c r="BI231" s="9">
        <f t="shared" si="22"/>
        <v>141641460</v>
      </c>
      <c r="BJ231" s="9">
        <f t="shared" si="22"/>
        <v>117554116</v>
      </c>
      <c r="BK231" s="9">
        <f t="shared" si="22"/>
        <v>118580744</v>
      </c>
      <c r="BL231" s="9">
        <f t="shared" si="22"/>
        <v>119001457</v>
      </c>
      <c r="BM231" s="9">
        <f t="shared" si="22"/>
        <v>122800340</v>
      </c>
    </row>
    <row r="232" spans="1:65" ht="21" customHeight="1">
      <c r="A232" s="83"/>
      <c r="B232" s="83"/>
      <c r="C232" s="83" t="s">
        <v>338</v>
      </c>
      <c r="D232" s="83"/>
      <c r="E232" s="5"/>
      <c r="F232" s="5"/>
      <c r="G232" s="6"/>
      <c r="H232" s="6"/>
      <c r="I232" s="6"/>
      <c r="J232" s="6"/>
      <c r="K232" s="6"/>
      <c r="L232" s="6"/>
      <c r="M232" s="6"/>
      <c r="N232" s="7"/>
      <c r="O232" s="6"/>
      <c r="P232" s="6"/>
      <c r="Q232" s="6"/>
      <c r="R232" s="6"/>
      <c r="S232" s="6"/>
      <c r="T232" s="6"/>
      <c r="U232" s="6"/>
      <c r="V232" s="6"/>
      <c r="W232" s="6"/>
      <c r="X232" s="6"/>
      <c r="Y232" s="6"/>
      <c r="Z232" s="6"/>
      <c r="AA232" s="6"/>
      <c r="AB232" s="6"/>
      <c r="AC232" s="6"/>
      <c r="AD232" s="6"/>
      <c r="AE232" s="6"/>
      <c r="AF232" s="6"/>
      <c r="AG232" s="6"/>
      <c r="AH232" s="6"/>
      <c r="AI232" s="6"/>
      <c r="AJ232" s="6"/>
      <c r="AK232" s="6"/>
      <c r="AL232" s="5"/>
      <c r="AM232" s="5"/>
      <c r="AN232" s="5"/>
      <c r="AO232" s="63">
        <v>20517904</v>
      </c>
      <c r="AP232" s="63">
        <v>33294286</v>
      </c>
      <c r="AQ232" s="63">
        <v>37982323</v>
      </c>
      <c r="AR232" s="63">
        <v>39598368</v>
      </c>
      <c r="AS232" s="63">
        <v>41393143</v>
      </c>
      <c r="AT232" s="63">
        <v>45351083</v>
      </c>
      <c r="AU232" s="63">
        <v>57006583</v>
      </c>
      <c r="AV232" s="63">
        <v>60608534</v>
      </c>
      <c r="AW232" s="63">
        <v>70698083</v>
      </c>
      <c r="AX232" s="63">
        <v>72167257</v>
      </c>
      <c r="AY232" s="63">
        <v>74498605</v>
      </c>
      <c r="AZ232" s="63">
        <v>75506492</v>
      </c>
      <c r="BA232" s="63">
        <v>77322793</v>
      </c>
      <c r="BB232" s="63">
        <v>85694369</v>
      </c>
      <c r="BC232" s="84">
        <v>90751269</v>
      </c>
      <c r="BD232" s="63">
        <v>98701359</v>
      </c>
      <c r="BE232" s="63">
        <v>103442884</v>
      </c>
      <c r="BF232" s="63">
        <v>100739746</v>
      </c>
      <c r="BG232" s="63">
        <v>103682248</v>
      </c>
      <c r="BH232" s="63">
        <v>108433717</v>
      </c>
      <c r="BI232" s="63">
        <v>130600205</v>
      </c>
      <c r="BJ232" s="63">
        <v>103226363</v>
      </c>
      <c r="BK232" s="63">
        <v>104489981</v>
      </c>
      <c r="BL232" s="63">
        <v>103195195</v>
      </c>
      <c r="BM232" s="63">
        <v>107575817</v>
      </c>
    </row>
    <row r="233" spans="1:65" ht="21" customHeight="1">
      <c r="A233" s="83"/>
      <c r="B233" s="83"/>
      <c r="C233" s="83" t="s">
        <v>14</v>
      </c>
      <c r="D233" s="83"/>
      <c r="E233" s="5"/>
      <c r="F233" s="5"/>
      <c r="G233" s="6"/>
      <c r="H233" s="6"/>
      <c r="I233" s="6"/>
      <c r="J233" s="6"/>
      <c r="K233" s="6"/>
      <c r="L233" s="6"/>
      <c r="M233" s="6"/>
      <c r="N233" s="7"/>
      <c r="O233" s="6"/>
      <c r="P233" s="6"/>
      <c r="Q233" s="6"/>
      <c r="R233" s="6"/>
      <c r="S233" s="6"/>
      <c r="T233" s="6"/>
      <c r="U233" s="6"/>
      <c r="V233" s="6"/>
      <c r="W233" s="6"/>
      <c r="X233" s="6"/>
      <c r="Y233" s="6"/>
      <c r="Z233" s="6"/>
      <c r="AA233" s="6"/>
      <c r="AB233" s="6"/>
      <c r="AC233" s="6"/>
      <c r="AD233" s="6"/>
      <c r="AE233" s="6"/>
      <c r="AF233" s="6"/>
      <c r="AG233" s="6"/>
      <c r="AH233" s="6"/>
      <c r="AI233" s="6"/>
      <c r="AJ233" s="6"/>
      <c r="AK233" s="6"/>
      <c r="AL233" s="5"/>
      <c r="AM233" s="5"/>
      <c r="AN233" s="5"/>
      <c r="AO233" s="63">
        <v>0</v>
      </c>
      <c r="AP233" s="63">
        <v>1106878</v>
      </c>
      <c r="AQ233" s="63">
        <v>2259931</v>
      </c>
      <c r="AR233" s="63">
        <v>12833046</v>
      </c>
      <c r="AS233" s="63">
        <v>17658824</v>
      </c>
      <c r="AT233" s="63">
        <v>9686595</v>
      </c>
      <c r="AU233" s="63">
        <v>0</v>
      </c>
      <c r="AV233" s="63">
        <v>0</v>
      </c>
      <c r="AW233" s="63"/>
      <c r="AX233" s="63"/>
      <c r="AY233" s="63"/>
      <c r="AZ233" s="63">
        <v>0</v>
      </c>
      <c r="BA233" s="63">
        <v>803930</v>
      </c>
      <c r="BB233" s="63">
        <v>544575</v>
      </c>
      <c r="BC233" s="84">
        <v>0</v>
      </c>
      <c r="BD233" s="63"/>
      <c r="BE233" s="63"/>
      <c r="BF233" s="63">
        <v>546128</v>
      </c>
      <c r="BG233" s="63">
        <v>1051382</v>
      </c>
      <c r="BH233" s="63">
        <v>1051217</v>
      </c>
      <c r="BI233" s="63">
        <v>1008078</v>
      </c>
      <c r="BJ233" s="63">
        <v>981267</v>
      </c>
      <c r="BK233" s="63">
        <v>886108</v>
      </c>
      <c r="BL233" s="63">
        <v>1232582</v>
      </c>
      <c r="BM233" s="63">
        <v>1225641</v>
      </c>
    </row>
    <row r="234" spans="1:65" ht="21" customHeight="1">
      <c r="A234" s="83"/>
      <c r="B234" s="83"/>
      <c r="C234" s="83" t="s">
        <v>15</v>
      </c>
      <c r="D234" s="83"/>
      <c r="E234" s="5"/>
      <c r="F234" s="5"/>
      <c r="G234" s="6"/>
      <c r="H234" s="6"/>
      <c r="I234" s="6"/>
      <c r="J234" s="6"/>
      <c r="K234" s="6"/>
      <c r="L234" s="6"/>
      <c r="M234" s="6"/>
      <c r="N234" s="7"/>
      <c r="O234" s="6"/>
      <c r="P234" s="6"/>
      <c r="Q234" s="6"/>
      <c r="R234" s="6"/>
      <c r="S234" s="6"/>
      <c r="T234" s="6"/>
      <c r="U234" s="6"/>
      <c r="V234" s="6"/>
      <c r="W234" s="6"/>
      <c r="X234" s="6"/>
      <c r="Y234" s="6"/>
      <c r="Z234" s="6"/>
      <c r="AA234" s="6"/>
      <c r="AB234" s="6"/>
      <c r="AC234" s="6"/>
      <c r="AD234" s="6"/>
      <c r="AE234" s="6"/>
      <c r="AF234" s="6"/>
      <c r="AG234" s="6"/>
      <c r="AH234" s="6"/>
      <c r="AI234" s="6"/>
      <c r="AJ234" s="6"/>
      <c r="AK234" s="6"/>
      <c r="AL234" s="5"/>
      <c r="AM234" s="5"/>
      <c r="AN234" s="5"/>
      <c r="AO234" s="63"/>
      <c r="AP234" s="63"/>
      <c r="AQ234" s="63"/>
      <c r="AR234" s="63"/>
      <c r="AS234" s="63"/>
      <c r="AT234" s="63"/>
      <c r="AU234" s="63"/>
      <c r="AV234" s="63"/>
      <c r="AW234" s="63"/>
      <c r="AX234" s="63"/>
      <c r="AY234" s="63"/>
      <c r="AZ234" s="63"/>
      <c r="BA234" s="63"/>
      <c r="BB234" s="63"/>
      <c r="BC234" s="84"/>
      <c r="BD234" s="63"/>
      <c r="BE234" s="63"/>
      <c r="BF234" s="63">
        <v>5454310</v>
      </c>
      <c r="BG234" s="63">
        <v>5501714</v>
      </c>
      <c r="BH234" s="63">
        <v>5507839</v>
      </c>
      <c r="BI234" s="63">
        <v>9605024</v>
      </c>
      <c r="BJ234" s="63">
        <v>12914694</v>
      </c>
      <c r="BK234" s="63">
        <v>12772765</v>
      </c>
      <c r="BL234" s="63">
        <v>14232055</v>
      </c>
      <c r="BM234" s="63">
        <v>13658603</v>
      </c>
    </row>
    <row r="235" spans="1:65" ht="21" customHeight="1">
      <c r="A235" s="83"/>
      <c r="B235" s="83"/>
      <c r="C235" s="81" t="s">
        <v>334</v>
      </c>
      <c r="D235" s="82"/>
      <c r="E235" s="82"/>
      <c r="F235" s="82"/>
      <c r="G235" s="6"/>
      <c r="H235" s="6"/>
      <c r="I235" s="6"/>
      <c r="J235" s="6"/>
      <c r="K235" s="6"/>
      <c r="L235" s="6"/>
      <c r="M235" s="6"/>
      <c r="N235" s="7"/>
      <c r="O235" s="6"/>
      <c r="P235" s="6"/>
      <c r="Q235" s="6"/>
      <c r="R235" s="6"/>
      <c r="S235" s="6"/>
      <c r="T235" s="6"/>
      <c r="U235" s="6"/>
      <c r="V235" s="6"/>
      <c r="W235" s="6"/>
      <c r="X235" s="6"/>
      <c r="Y235" s="6"/>
      <c r="Z235" s="6"/>
      <c r="AA235" s="6"/>
      <c r="AB235" s="6"/>
      <c r="AC235" s="6"/>
      <c r="AD235" s="6"/>
      <c r="AE235" s="6"/>
      <c r="AF235" s="6"/>
      <c r="AG235" s="6"/>
      <c r="AH235" s="6"/>
      <c r="AI235" s="6"/>
      <c r="AJ235" s="6"/>
      <c r="AK235" s="6"/>
      <c r="AL235" s="5"/>
      <c r="AM235" s="5"/>
      <c r="AN235" s="5"/>
      <c r="AO235" s="63">
        <v>211250</v>
      </c>
      <c r="AP235" s="63">
        <v>94667</v>
      </c>
      <c r="AQ235" s="63">
        <v>90667</v>
      </c>
      <c r="AR235" s="63">
        <v>80667</v>
      </c>
      <c r="AS235" s="63">
        <v>69334</v>
      </c>
      <c r="AT235" s="63">
        <v>409788</v>
      </c>
      <c r="AU235" s="63">
        <v>424967</v>
      </c>
      <c r="AV235" s="63">
        <v>749872</v>
      </c>
      <c r="AW235" s="63">
        <v>612714</v>
      </c>
      <c r="AX235" s="63">
        <v>225306</v>
      </c>
      <c r="AY235" s="63">
        <v>41799</v>
      </c>
      <c r="AZ235" s="63">
        <v>64459</v>
      </c>
      <c r="BA235" s="63">
        <v>61726</v>
      </c>
      <c r="BB235" s="63">
        <v>45279</v>
      </c>
      <c r="BC235" s="84">
        <v>41623</v>
      </c>
      <c r="BD235" s="63">
        <v>33882</v>
      </c>
      <c r="BE235" s="63">
        <v>41922</v>
      </c>
      <c r="BF235" s="63">
        <v>30994</v>
      </c>
      <c r="BG235" s="63">
        <v>25200</v>
      </c>
      <c r="BH235" s="63">
        <v>26301</v>
      </c>
      <c r="BI235" s="63">
        <v>28153</v>
      </c>
      <c r="BJ235" s="63">
        <v>31792</v>
      </c>
      <c r="BK235" s="63">
        <v>31890</v>
      </c>
      <c r="BL235" s="63">
        <v>41625</v>
      </c>
      <c r="BM235" s="63">
        <v>40279</v>
      </c>
    </row>
    <row r="236" spans="1:65" ht="21" customHeight="1">
      <c r="A236" s="83"/>
      <c r="B236" s="83"/>
      <c r="C236" s="83" t="s">
        <v>335</v>
      </c>
      <c r="D236" s="83"/>
      <c r="E236" s="5"/>
      <c r="F236" s="5"/>
      <c r="G236" s="6"/>
      <c r="H236" s="6"/>
      <c r="I236" s="6"/>
      <c r="J236" s="6"/>
      <c r="K236" s="6"/>
      <c r="L236" s="6"/>
      <c r="M236" s="6"/>
      <c r="N236" s="7"/>
      <c r="O236" s="6"/>
      <c r="P236" s="6"/>
      <c r="Q236" s="6"/>
      <c r="R236" s="6"/>
      <c r="S236" s="6"/>
      <c r="T236" s="6"/>
      <c r="U236" s="6"/>
      <c r="V236" s="6"/>
      <c r="W236" s="6"/>
      <c r="X236" s="6"/>
      <c r="Y236" s="6"/>
      <c r="Z236" s="6"/>
      <c r="AA236" s="6"/>
      <c r="AB236" s="6"/>
      <c r="AC236" s="6"/>
      <c r="AD236" s="6"/>
      <c r="AE236" s="6"/>
      <c r="AF236" s="6"/>
      <c r="AG236" s="6"/>
      <c r="AH236" s="6"/>
      <c r="AI236" s="6"/>
      <c r="AJ236" s="6"/>
      <c r="AK236" s="6"/>
      <c r="AL236" s="5"/>
      <c r="AM236" s="5"/>
      <c r="AN236" s="5"/>
      <c r="AO236" s="63">
        <v>4404848</v>
      </c>
      <c r="AP236" s="63">
        <v>5644514</v>
      </c>
      <c r="AQ236" s="63">
        <v>4707594</v>
      </c>
      <c r="AR236" s="63">
        <v>800000</v>
      </c>
      <c r="AS236" s="63">
        <v>800000</v>
      </c>
      <c r="AT236" s="63">
        <v>800000</v>
      </c>
      <c r="AU236" s="63">
        <v>800000</v>
      </c>
      <c r="AV236" s="63">
        <v>1096000</v>
      </c>
      <c r="AW236" s="63">
        <v>800000</v>
      </c>
      <c r="AX236" s="63">
        <v>800000</v>
      </c>
      <c r="AY236" s="63">
        <v>800000</v>
      </c>
      <c r="AZ236" s="63">
        <v>800000</v>
      </c>
      <c r="BA236" s="63">
        <v>800000</v>
      </c>
      <c r="BB236" s="63">
        <v>800000</v>
      </c>
      <c r="BC236" s="84">
        <v>600000</v>
      </c>
      <c r="BD236" s="63">
        <v>600000</v>
      </c>
      <c r="BE236" s="63">
        <v>600000</v>
      </c>
      <c r="BF236" s="63">
        <v>600000</v>
      </c>
      <c r="BG236" s="63">
        <v>600000</v>
      </c>
      <c r="BH236" s="63">
        <v>600000</v>
      </c>
      <c r="BI236" s="63">
        <v>400000</v>
      </c>
      <c r="BJ236" s="63">
        <v>400000</v>
      </c>
      <c r="BK236" s="63">
        <v>400000</v>
      </c>
      <c r="BL236" s="63">
        <v>300000</v>
      </c>
      <c r="BM236" s="63">
        <v>300000</v>
      </c>
    </row>
    <row r="237" spans="1:65" ht="21" customHeight="1">
      <c r="A237" s="5"/>
      <c r="B237" s="5"/>
      <c r="C237" s="5"/>
      <c r="D237" s="5"/>
      <c r="E237" s="5"/>
      <c r="F237" s="5"/>
      <c r="G237" s="6"/>
      <c r="H237" s="6"/>
      <c r="I237" s="6"/>
      <c r="J237" s="6"/>
      <c r="K237" s="6"/>
      <c r="L237" s="6"/>
      <c r="M237" s="6"/>
      <c r="N237" s="7"/>
      <c r="O237" s="6"/>
      <c r="P237" s="6"/>
      <c r="Q237" s="6"/>
      <c r="R237" s="6"/>
      <c r="S237" s="6"/>
      <c r="T237" s="6"/>
      <c r="U237" s="6"/>
      <c r="V237" s="6"/>
      <c r="W237" s="6"/>
      <c r="X237" s="6"/>
      <c r="Y237" s="6"/>
      <c r="Z237" s="6"/>
      <c r="AA237" s="6"/>
      <c r="AB237" s="6"/>
      <c r="AC237" s="6"/>
      <c r="AD237" s="6"/>
      <c r="AE237" s="6"/>
      <c r="AF237" s="6"/>
      <c r="AG237" s="6"/>
      <c r="AH237" s="6"/>
      <c r="AI237" s="6"/>
      <c r="AJ237" s="6"/>
      <c r="AK237" s="6"/>
      <c r="AL237" s="5"/>
      <c r="AM237" s="5"/>
      <c r="AN237" s="5"/>
      <c r="AO237" s="5"/>
      <c r="AP237" s="5"/>
      <c r="AQ237" s="5"/>
      <c r="AR237" s="5"/>
      <c r="AS237" s="63"/>
      <c r="AT237" s="83"/>
      <c r="AU237" s="83"/>
      <c r="AV237" s="83"/>
      <c r="AW237" s="83"/>
      <c r="AX237" s="83"/>
      <c r="AY237" s="63"/>
      <c r="AZ237" s="63"/>
      <c r="BA237" s="6"/>
      <c r="BB237" s="6"/>
      <c r="BC237" s="7"/>
      <c r="BD237" s="6"/>
      <c r="BE237" s="6"/>
      <c r="BF237" s="6"/>
      <c r="BG237" s="6"/>
      <c r="BH237" s="6"/>
      <c r="BI237" s="6"/>
      <c r="BJ237" s="6"/>
      <c r="BK237" s="6"/>
      <c r="BL237" s="6"/>
      <c r="BM237" s="6"/>
    </row>
    <row r="238" spans="1:65" ht="21" customHeight="1">
      <c r="A238" s="4" t="s">
        <v>16</v>
      </c>
      <c r="B238" s="5"/>
      <c r="C238" s="5"/>
      <c r="D238" s="5"/>
      <c r="E238" s="5"/>
      <c r="F238" s="5"/>
      <c r="G238" s="6"/>
      <c r="H238" s="6"/>
      <c r="I238" s="6"/>
      <c r="J238" s="6"/>
      <c r="K238" s="6"/>
      <c r="L238" s="6"/>
      <c r="M238" s="6"/>
      <c r="N238" s="7"/>
      <c r="O238" s="6"/>
      <c r="P238" s="6"/>
      <c r="Q238" s="6"/>
      <c r="R238" s="6"/>
      <c r="S238" s="6"/>
      <c r="T238" s="6"/>
      <c r="U238" s="6"/>
      <c r="V238" s="6"/>
      <c r="W238" s="6"/>
      <c r="X238" s="6"/>
      <c r="Y238" s="6"/>
      <c r="Z238" s="6"/>
      <c r="AA238" s="6"/>
      <c r="AB238" s="6"/>
      <c r="AC238" s="6"/>
      <c r="AD238" s="6"/>
      <c r="AE238" s="6"/>
      <c r="AF238" s="6"/>
      <c r="AG238" s="6"/>
      <c r="AH238" s="6"/>
      <c r="AI238" s="6"/>
      <c r="AJ238" s="6"/>
      <c r="AK238" s="6"/>
      <c r="AL238" s="5"/>
      <c r="AM238" s="5"/>
      <c r="AN238" s="5"/>
      <c r="AO238" s="5"/>
      <c r="AP238" s="5"/>
      <c r="AQ238" s="5"/>
      <c r="AR238" s="5"/>
      <c r="AS238" s="6"/>
      <c r="AT238" s="6"/>
      <c r="AU238" s="6"/>
      <c r="AV238" s="6"/>
      <c r="AW238" s="6"/>
      <c r="AX238" s="6"/>
      <c r="AY238" s="6"/>
      <c r="AZ238" s="6"/>
      <c r="BA238" s="6"/>
      <c r="BB238" s="6"/>
      <c r="BC238" s="7"/>
      <c r="BD238" s="6"/>
      <c r="BE238" s="6"/>
      <c r="BF238" s="6"/>
      <c r="BG238" s="6"/>
      <c r="BH238" s="6"/>
      <c r="BI238" s="6"/>
      <c r="BJ238" s="6"/>
      <c r="BK238" s="6"/>
      <c r="BL238" s="6"/>
      <c r="BM238" s="6"/>
    </row>
    <row r="239" spans="1:65" ht="21" customHeight="1">
      <c r="A239" s="5" t="s">
        <v>17</v>
      </c>
      <c r="B239" s="5"/>
      <c r="C239" s="5"/>
      <c r="D239" s="5"/>
      <c r="E239" s="5"/>
      <c r="F239" s="5"/>
      <c r="G239" s="6"/>
      <c r="H239" s="6"/>
      <c r="I239" s="6"/>
      <c r="J239" s="6"/>
      <c r="K239" s="6"/>
      <c r="L239" s="6"/>
      <c r="M239" s="6"/>
      <c r="N239" s="7"/>
      <c r="O239" s="6"/>
      <c r="P239" s="6"/>
      <c r="Q239" s="6"/>
      <c r="R239" s="6"/>
      <c r="S239" s="6"/>
      <c r="T239" s="6"/>
      <c r="U239" s="6"/>
      <c r="V239" s="6"/>
      <c r="W239" s="6"/>
      <c r="X239" s="6"/>
      <c r="Y239" s="6"/>
      <c r="Z239" s="6"/>
      <c r="AA239" s="6"/>
      <c r="AB239" s="6"/>
      <c r="AC239" s="6"/>
      <c r="AD239" s="6"/>
      <c r="AE239" s="6"/>
      <c r="AF239" s="6"/>
      <c r="AG239" s="6"/>
      <c r="AH239" s="6"/>
      <c r="AI239" s="6"/>
      <c r="AJ239" s="6"/>
      <c r="AK239" s="6"/>
      <c r="AL239" s="5"/>
      <c r="AM239" s="5"/>
      <c r="AN239" s="5"/>
      <c r="AO239" s="5"/>
      <c r="AP239" s="5"/>
      <c r="AQ239" s="5"/>
      <c r="AR239" s="5"/>
      <c r="AS239" s="6"/>
      <c r="AT239" s="6"/>
      <c r="AU239" s="6"/>
      <c r="AV239" s="6"/>
      <c r="AW239" s="6"/>
      <c r="AX239" s="6"/>
      <c r="AY239" s="6"/>
      <c r="AZ239" s="6"/>
      <c r="BA239" s="6"/>
      <c r="BB239" s="6"/>
      <c r="BC239" s="7"/>
      <c r="BD239" s="6"/>
      <c r="BE239" s="6"/>
      <c r="BF239" s="6"/>
      <c r="BG239" s="6"/>
      <c r="BH239" s="6"/>
      <c r="BI239" s="6"/>
      <c r="BJ239" s="6"/>
      <c r="BK239" s="6"/>
      <c r="BL239" s="6"/>
      <c r="BM239" s="6"/>
    </row>
    <row r="240" spans="1:67" ht="21" customHeight="1">
      <c r="A240" s="5"/>
      <c r="B240" s="5" t="s">
        <v>332</v>
      </c>
      <c r="C240" s="5"/>
      <c r="D240" s="5"/>
      <c r="E240" s="5"/>
      <c r="F240" s="5"/>
      <c r="G240" s="9"/>
      <c r="H240" s="9"/>
      <c r="I240" s="9"/>
      <c r="J240" s="9"/>
      <c r="K240" s="9"/>
      <c r="L240" s="9"/>
      <c r="M240" s="9"/>
      <c r="N240" s="10"/>
      <c r="O240" s="9"/>
      <c r="P240" s="9"/>
      <c r="Q240" s="9"/>
      <c r="R240" s="9"/>
      <c r="S240" s="9"/>
      <c r="T240" s="9"/>
      <c r="U240" s="9"/>
      <c r="V240" s="9"/>
      <c r="W240" s="9"/>
      <c r="X240" s="9"/>
      <c r="Y240" s="9"/>
      <c r="Z240" s="9"/>
      <c r="AA240" s="9"/>
      <c r="AB240" s="9">
        <f aca="true" t="shared" si="23" ref="AB240:AK240">AB242+AB250+SUM(AB261:AB265)</f>
        <v>0</v>
      </c>
      <c r="AC240" s="9">
        <f t="shared" si="23"/>
        <v>0</v>
      </c>
      <c r="AD240" s="9">
        <f t="shared" si="23"/>
        <v>0</v>
      </c>
      <c r="AE240" s="9">
        <f t="shared" si="23"/>
        <v>10100100</v>
      </c>
      <c r="AF240" s="9">
        <f t="shared" si="23"/>
        <v>30502000</v>
      </c>
      <c r="AG240" s="9">
        <f t="shared" si="23"/>
        <v>33382537</v>
      </c>
      <c r="AH240" s="9">
        <f t="shared" si="23"/>
        <v>37482104</v>
      </c>
      <c r="AI240" s="9">
        <f t="shared" si="23"/>
        <v>51550261</v>
      </c>
      <c r="AJ240" s="9">
        <f t="shared" si="23"/>
        <v>57497124</v>
      </c>
      <c r="AK240" s="9">
        <f t="shared" si="23"/>
        <v>59873203</v>
      </c>
      <c r="AL240" s="9">
        <f aca="true" t="shared" si="24" ref="AL240:BG240">AL241+SUM(AL261:AL265)</f>
        <v>69463170</v>
      </c>
      <c r="AM240" s="9">
        <f t="shared" si="24"/>
        <v>71932270</v>
      </c>
      <c r="AN240" s="9">
        <f t="shared" si="24"/>
        <v>70527030</v>
      </c>
      <c r="AO240" s="9">
        <f t="shared" si="24"/>
        <v>78054294</v>
      </c>
      <c r="AP240" s="9">
        <f t="shared" si="24"/>
        <v>89238132</v>
      </c>
      <c r="AQ240" s="9">
        <f t="shared" si="24"/>
        <v>101704375</v>
      </c>
      <c r="AR240" s="9">
        <f t="shared" si="24"/>
        <v>106732451</v>
      </c>
      <c r="AS240" s="9">
        <f t="shared" si="24"/>
        <v>121322773</v>
      </c>
      <c r="AT240" s="9">
        <f t="shared" si="24"/>
        <v>142084650</v>
      </c>
      <c r="AU240" s="9">
        <f t="shared" si="24"/>
        <v>163065662</v>
      </c>
      <c r="AV240" s="9">
        <f t="shared" si="24"/>
        <v>178733036</v>
      </c>
      <c r="AW240" s="9">
        <f t="shared" si="24"/>
        <v>191756154</v>
      </c>
      <c r="AX240" s="9">
        <f t="shared" si="24"/>
        <v>193492171</v>
      </c>
      <c r="AY240" s="9">
        <f t="shared" si="24"/>
        <v>197129261</v>
      </c>
      <c r="AZ240" s="9">
        <f t="shared" si="24"/>
        <v>222258345</v>
      </c>
      <c r="BA240" s="9">
        <f t="shared" si="24"/>
        <v>223381422</v>
      </c>
      <c r="BB240" s="9">
        <f t="shared" si="24"/>
        <v>223604804</v>
      </c>
      <c r="BC240" s="10">
        <f t="shared" si="24"/>
        <v>223602804</v>
      </c>
      <c r="BD240" s="9">
        <f t="shared" si="24"/>
        <v>226238317</v>
      </c>
      <c r="BE240" s="9">
        <f t="shared" si="24"/>
        <v>228202129</v>
      </c>
      <c r="BF240" s="96">
        <f t="shared" si="24"/>
        <v>243676646</v>
      </c>
      <c r="BG240" s="96">
        <f t="shared" si="24"/>
        <v>244636255</v>
      </c>
      <c r="BH240" s="96">
        <f>BH241+SUM(BH258:BH265)</f>
        <v>250718637</v>
      </c>
      <c r="BI240" s="96">
        <f>BI241+SUM(BI258:BI265)</f>
        <v>257695692</v>
      </c>
      <c r="BJ240" s="96">
        <f>BJ241+SUM(BJ261:BJ265)</f>
        <v>201388588</v>
      </c>
      <c r="BK240" s="96">
        <f>SUM(BK241,BK258,BK260,BK261,BK262,BK263,BK264,BK265)</f>
        <v>224553982</v>
      </c>
      <c r="BL240" s="96">
        <f>SUM(BL241,BL258,BL260,BL261,BL262,BL263,BL264,BL265)</f>
        <v>205794121</v>
      </c>
      <c r="BM240" s="96">
        <f>SUM(BM241,BM258,BM260,BM261,BM262,BM263,BM264,BM265)</f>
        <v>203624184</v>
      </c>
      <c r="BN240" s="97"/>
      <c r="BO240" s="11"/>
    </row>
    <row r="241" spans="1:67" ht="21" customHeight="1">
      <c r="A241" s="5"/>
      <c r="B241" s="5"/>
      <c r="C241" s="5" t="s">
        <v>18</v>
      </c>
      <c r="D241" s="5"/>
      <c r="E241" s="5"/>
      <c r="F241" s="5"/>
      <c r="G241" s="9"/>
      <c r="H241" s="9"/>
      <c r="I241" s="9"/>
      <c r="J241" s="9"/>
      <c r="K241" s="9"/>
      <c r="L241" s="9"/>
      <c r="M241" s="9"/>
      <c r="N241" s="10"/>
      <c r="O241" s="9"/>
      <c r="P241" s="9"/>
      <c r="Q241" s="9"/>
      <c r="R241" s="9"/>
      <c r="S241" s="9"/>
      <c r="T241" s="9"/>
      <c r="U241" s="9"/>
      <c r="V241" s="9"/>
      <c r="W241" s="9"/>
      <c r="X241" s="9"/>
      <c r="Y241" s="9"/>
      <c r="Z241" s="9"/>
      <c r="AA241" s="9"/>
      <c r="AB241" s="9"/>
      <c r="AC241" s="9"/>
      <c r="AD241" s="9"/>
      <c r="AE241" s="9">
        <f aca="true" t="shared" si="25" ref="AE241:AJ241">AE242+AE250</f>
        <v>9073000</v>
      </c>
      <c r="AF241" s="9">
        <f t="shared" si="25"/>
        <v>29427661</v>
      </c>
      <c r="AG241" s="9">
        <f t="shared" si="25"/>
        <v>32287086</v>
      </c>
      <c r="AH241" s="9">
        <f t="shared" si="25"/>
        <v>36389107</v>
      </c>
      <c r="AI241" s="9">
        <f t="shared" si="25"/>
        <v>50442929</v>
      </c>
      <c r="AJ241" s="9">
        <f t="shared" si="25"/>
        <v>56397391</v>
      </c>
      <c r="AK241" s="9">
        <f>AK242+AK250</f>
        <v>58695558</v>
      </c>
      <c r="AL241" s="9">
        <f aca="true" t="shared" si="26" ref="AL241:BD241">SUM(AL242:AL256)</f>
        <v>68116916</v>
      </c>
      <c r="AM241" s="9">
        <f t="shared" si="26"/>
        <v>70555963</v>
      </c>
      <c r="AN241" s="9">
        <f t="shared" si="26"/>
        <v>69027714</v>
      </c>
      <c r="AO241" s="9">
        <f t="shared" si="26"/>
        <v>76574422</v>
      </c>
      <c r="AP241" s="9">
        <f t="shared" si="26"/>
        <v>87746312</v>
      </c>
      <c r="AQ241" s="9">
        <f t="shared" si="26"/>
        <v>99945609</v>
      </c>
      <c r="AR241" s="9">
        <f t="shared" si="26"/>
        <v>104961609</v>
      </c>
      <c r="AS241" s="9">
        <f t="shared" si="26"/>
        <v>119474817</v>
      </c>
      <c r="AT241" s="9">
        <f t="shared" si="26"/>
        <v>140086431</v>
      </c>
      <c r="AU241" s="9">
        <f t="shared" si="26"/>
        <v>160983335</v>
      </c>
      <c r="AV241" s="9">
        <f t="shared" si="26"/>
        <v>176558499</v>
      </c>
      <c r="AW241" s="9">
        <f t="shared" si="26"/>
        <v>189524463</v>
      </c>
      <c r="AX241" s="9">
        <f t="shared" si="26"/>
        <v>191200621</v>
      </c>
      <c r="AY241" s="9">
        <f t="shared" si="26"/>
        <v>194777700</v>
      </c>
      <c r="AZ241" s="9">
        <f t="shared" si="26"/>
        <v>219839314</v>
      </c>
      <c r="BA241" s="9">
        <f t="shared" si="26"/>
        <v>220883221</v>
      </c>
      <c r="BB241" s="9">
        <f t="shared" si="26"/>
        <v>221068448</v>
      </c>
      <c r="BC241" s="10">
        <f t="shared" si="26"/>
        <v>221006890</v>
      </c>
      <c r="BD241" s="9">
        <f t="shared" si="26"/>
        <v>223578147</v>
      </c>
      <c r="BE241" s="9">
        <f aca="true" t="shared" si="27" ref="BE241:BK241">SUM(BE242:BE257)</f>
        <v>225096909</v>
      </c>
      <c r="BF241" s="96">
        <f t="shared" si="27"/>
        <v>239833128</v>
      </c>
      <c r="BG241" s="96">
        <f t="shared" si="27"/>
        <v>241292956</v>
      </c>
      <c r="BH241" s="96">
        <f t="shared" si="27"/>
        <v>212471092</v>
      </c>
      <c r="BI241" s="96">
        <f>SUM(BI242:BI257)</f>
        <v>186974906</v>
      </c>
      <c r="BJ241" s="96">
        <f t="shared" si="27"/>
        <v>186248119</v>
      </c>
      <c r="BK241" s="96">
        <f t="shared" si="27"/>
        <v>159105710</v>
      </c>
      <c r="BL241" s="96">
        <f>SUM(BL242:BL257)</f>
        <v>169129669</v>
      </c>
      <c r="BM241" s="96">
        <f>SUM(BM242:BM257)</f>
        <v>169498983</v>
      </c>
      <c r="BN241" s="97"/>
      <c r="BO241" s="11"/>
    </row>
    <row r="242" spans="1:67" ht="21" customHeight="1">
      <c r="A242" s="5"/>
      <c r="B242" s="5"/>
      <c r="C242" s="5" t="s">
        <v>19</v>
      </c>
      <c r="D242" s="5"/>
      <c r="E242" s="5"/>
      <c r="F242" s="5"/>
      <c r="G242" s="6"/>
      <c r="H242" s="6"/>
      <c r="I242" s="6"/>
      <c r="J242" s="6"/>
      <c r="K242" s="6"/>
      <c r="L242" s="6"/>
      <c r="M242" s="6"/>
      <c r="N242" s="7"/>
      <c r="O242" s="6"/>
      <c r="P242" s="6"/>
      <c r="Q242" s="6"/>
      <c r="R242" s="6"/>
      <c r="S242" s="6"/>
      <c r="T242" s="6"/>
      <c r="U242" s="6"/>
      <c r="V242" s="6"/>
      <c r="W242" s="6"/>
      <c r="X242" s="6"/>
      <c r="Y242" s="6"/>
      <c r="Z242" s="6"/>
      <c r="AA242" s="6"/>
      <c r="AB242" s="6"/>
      <c r="AC242" s="6"/>
      <c r="AD242" s="6"/>
      <c r="AE242" s="6">
        <v>8188000</v>
      </c>
      <c r="AF242" s="6">
        <v>22881000</v>
      </c>
      <c r="AG242" s="6">
        <v>23372000</v>
      </c>
      <c r="AH242" s="6">
        <v>23742000</v>
      </c>
      <c r="AI242" s="6">
        <v>35069000</v>
      </c>
      <c r="AJ242" s="6">
        <v>38919000</v>
      </c>
      <c r="AK242" s="6">
        <v>41414000</v>
      </c>
      <c r="AL242" s="6">
        <v>39682040</v>
      </c>
      <c r="AM242" s="6">
        <v>37928000</v>
      </c>
      <c r="AN242" s="6">
        <v>36390000</v>
      </c>
      <c r="AO242" s="6">
        <v>41689120</v>
      </c>
      <c r="AP242" s="6">
        <v>50438540</v>
      </c>
      <c r="AQ242" s="6">
        <v>60222379</v>
      </c>
      <c r="AR242" s="6">
        <v>62122673</v>
      </c>
      <c r="AS242" s="6">
        <v>72066221</v>
      </c>
      <c r="AT242" s="6">
        <v>79297448</v>
      </c>
      <c r="AU242" s="6">
        <v>82428103</v>
      </c>
      <c r="AV242" s="6">
        <v>87171774</v>
      </c>
      <c r="AW242" s="6">
        <v>82668134</v>
      </c>
      <c r="AX242" s="6">
        <v>62716104</v>
      </c>
      <c r="AY242" s="6">
        <v>59145745</v>
      </c>
      <c r="AZ242" s="14">
        <v>69833852</v>
      </c>
      <c r="BA242" s="6">
        <v>73857550</v>
      </c>
      <c r="BB242" s="6">
        <v>73190746</v>
      </c>
      <c r="BC242" s="7">
        <v>73663214</v>
      </c>
      <c r="BD242" s="6">
        <v>70334236</v>
      </c>
      <c r="BE242" s="6">
        <v>65423943</v>
      </c>
      <c r="BF242" s="6">
        <v>72559491</v>
      </c>
      <c r="BG242" s="6">
        <v>70306992</v>
      </c>
      <c r="BH242" s="6">
        <v>17460564</v>
      </c>
      <c r="BI242" s="6"/>
      <c r="BJ242" s="6"/>
      <c r="BK242" s="6"/>
      <c r="BL242" s="6"/>
      <c r="BM242" s="6"/>
      <c r="BN242" s="11"/>
      <c r="BO242" s="97"/>
    </row>
    <row r="243" spans="1:67" ht="21" customHeight="1">
      <c r="A243" s="5"/>
      <c r="B243" s="5"/>
      <c r="C243" s="5"/>
      <c r="D243" s="5" t="s">
        <v>20</v>
      </c>
      <c r="E243" s="5"/>
      <c r="F243" s="5"/>
      <c r="G243" s="6"/>
      <c r="H243" s="6"/>
      <c r="I243" s="6"/>
      <c r="J243" s="6"/>
      <c r="K243" s="6"/>
      <c r="L243" s="6"/>
      <c r="M243" s="6"/>
      <c r="N243" s="7"/>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14"/>
      <c r="BA243" s="6"/>
      <c r="BB243" s="6"/>
      <c r="BC243" s="7"/>
      <c r="BD243" s="6"/>
      <c r="BE243" s="6">
        <v>13670954</v>
      </c>
      <c r="BF243" s="6">
        <v>14893993</v>
      </c>
      <c r="BG243" s="6">
        <v>15034505</v>
      </c>
      <c r="BH243" s="6">
        <v>16050091</v>
      </c>
      <c r="BI243" s="6">
        <v>16633018</v>
      </c>
      <c r="BJ243" s="6">
        <v>19836266</v>
      </c>
      <c r="BK243" s="6">
        <v>7054199</v>
      </c>
      <c r="BL243" s="6">
        <v>5827624</v>
      </c>
      <c r="BM243" s="6">
        <v>5349402</v>
      </c>
      <c r="BN243" s="11"/>
      <c r="BO243" s="97"/>
    </row>
    <row r="244" spans="1:67" ht="21" customHeight="1">
      <c r="A244" s="5"/>
      <c r="B244" s="5"/>
      <c r="C244" s="5"/>
      <c r="D244" s="5" t="s">
        <v>21</v>
      </c>
      <c r="E244" s="5"/>
      <c r="F244" s="5"/>
      <c r="G244" s="6"/>
      <c r="H244" s="6"/>
      <c r="I244" s="6"/>
      <c r="J244" s="6"/>
      <c r="K244" s="6"/>
      <c r="L244" s="6"/>
      <c r="M244" s="6"/>
      <c r="N244" s="7"/>
      <c r="O244" s="6"/>
      <c r="P244" s="6"/>
      <c r="Q244" s="6"/>
      <c r="R244" s="6"/>
      <c r="S244" s="6"/>
      <c r="T244" s="6"/>
      <c r="U244" s="6"/>
      <c r="V244" s="6"/>
      <c r="W244" s="6"/>
      <c r="X244" s="6"/>
      <c r="Y244" s="6"/>
      <c r="Z244" s="6"/>
      <c r="AA244" s="6"/>
      <c r="AB244" s="6"/>
      <c r="AC244" s="6"/>
      <c r="AD244" s="6"/>
      <c r="AE244" s="6"/>
      <c r="AF244" s="6"/>
      <c r="AG244" s="6"/>
      <c r="AH244" s="6"/>
      <c r="AI244" s="6"/>
      <c r="AJ244" s="6"/>
      <c r="AK244" s="6">
        <v>0</v>
      </c>
      <c r="AL244" s="6">
        <v>5327000</v>
      </c>
      <c r="AM244" s="6">
        <v>9716680</v>
      </c>
      <c r="AN244" s="6">
        <v>10610358</v>
      </c>
      <c r="AO244" s="6">
        <v>11466831</v>
      </c>
      <c r="AP244" s="6">
        <v>11884202</v>
      </c>
      <c r="AQ244" s="6">
        <v>12929404</v>
      </c>
      <c r="AR244" s="6">
        <v>13420951</v>
      </c>
      <c r="AS244" s="6">
        <v>14439223</v>
      </c>
      <c r="AT244" s="6">
        <v>20845688</v>
      </c>
      <c r="AU244" s="6">
        <v>24140721</v>
      </c>
      <c r="AV244" s="6">
        <v>26061821</v>
      </c>
      <c r="AW244" s="6">
        <v>29019269</v>
      </c>
      <c r="AX244" s="6">
        <v>34856485</v>
      </c>
      <c r="AY244" s="6">
        <v>34144962</v>
      </c>
      <c r="AZ244" s="14">
        <v>39669498</v>
      </c>
      <c r="BA244" s="6">
        <v>40176551</v>
      </c>
      <c r="BB244" s="6">
        <v>40780743</v>
      </c>
      <c r="BC244" s="7">
        <v>40784943</v>
      </c>
      <c r="BD244" s="6">
        <v>44141963</v>
      </c>
      <c r="BE244" s="6">
        <v>51315426</v>
      </c>
      <c r="BF244" s="6">
        <v>51663193</v>
      </c>
      <c r="BG244" s="6">
        <v>51993444</v>
      </c>
      <c r="BH244" s="6">
        <v>34591368</v>
      </c>
      <c r="BI244" s="6"/>
      <c r="BJ244" s="6"/>
      <c r="BK244" s="6"/>
      <c r="BL244" s="6"/>
      <c r="BM244" s="6"/>
      <c r="BN244" s="11"/>
      <c r="BO244" s="97"/>
    </row>
    <row r="245" spans="1:67" ht="21" customHeight="1">
      <c r="A245" s="5"/>
      <c r="B245" s="5"/>
      <c r="C245" s="5"/>
      <c r="D245" s="5" t="s">
        <v>22</v>
      </c>
      <c r="E245" s="5"/>
      <c r="F245" s="5"/>
      <c r="G245" s="6"/>
      <c r="H245" s="6"/>
      <c r="I245" s="6"/>
      <c r="J245" s="6"/>
      <c r="K245" s="6"/>
      <c r="L245" s="6"/>
      <c r="M245" s="6"/>
      <c r="N245" s="7"/>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14"/>
      <c r="BA245" s="6"/>
      <c r="BB245" s="6"/>
      <c r="BC245" s="7"/>
      <c r="BD245" s="6"/>
      <c r="BE245" s="6"/>
      <c r="BF245" s="6"/>
      <c r="BG245" s="6"/>
      <c r="BH245" s="6">
        <v>51452045</v>
      </c>
      <c r="BI245" s="6">
        <v>112395173</v>
      </c>
      <c r="BJ245" s="6">
        <v>111087650</v>
      </c>
      <c r="BK245" s="6">
        <v>104015847</v>
      </c>
      <c r="BL245" s="6">
        <v>113010602</v>
      </c>
      <c r="BM245" s="6">
        <v>117851804</v>
      </c>
      <c r="BN245" s="11"/>
      <c r="BO245" s="97"/>
    </row>
    <row r="246" spans="1:67" ht="21" customHeight="1">
      <c r="A246" s="5"/>
      <c r="B246" s="5"/>
      <c r="C246" s="5"/>
      <c r="D246" s="5" t="s">
        <v>23</v>
      </c>
      <c r="E246" s="5"/>
      <c r="F246" s="5"/>
      <c r="G246" s="6"/>
      <c r="H246" s="6"/>
      <c r="I246" s="6"/>
      <c r="J246" s="6"/>
      <c r="K246" s="6"/>
      <c r="L246" s="6"/>
      <c r="M246" s="6"/>
      <c r="N246" s="7"/>
      <c r="O246" s="6"/>
      <c r="P246" s="6"/>
      <c r="Q246" s="6"/>
      <c r="R246" s="6"/>
      <c r="S246" s="6"/>
      <c r="T246" s="6"/>
      <c r="U246" s="6"/>
      <c r="V246" s="6"/>
      <c r="W246" s="6"/>
      <c r="X246" s="6"/>
      <c r="Y246" s="6"/>
      <c r="Z246" s="6"/>
      <c r="AA246" s="6"/>
      <c r="AB246" s="6"/>
      <c r="AC246" s="6"/>
      <c r="AD246" s="6"/>
      <c r="AE246" s="6"/>
      <c r="AF246" s="6"/>
      <c r="AG246" s="6"/>
      <c r="AH246" s="6"/>
      <c r="AI246" s="6"/>
      <c r="AJ246" s="6"/>
      <c r="AK246" s="6">
        <v>0</v>
      </c>
      <c r="AL246" s="6">
        <v>3538100</v>
      </c>
      <c r="AM246" s="6">
        <v>3724099</v>
      </c>
      <c r="AN246" s="6">
        <v>3759699</v>
      </c>
      <c r="AO246" s="6">
        <v>3845888</v>
      </c>
      <c r="AP246" s="6">
        <v>3903698</v>
      </c>
      <c r="AQ246" s="6">
        <v>3917559</v>
      </c>
      <c r="AR246" s="6">
        <v>3937734</v>
      </c>
      <c r="AS246" s="6">
        <v>3960245</v>
      </c>
      <c r="AT246" s="6">
        <v>3994056</v>
      </c>
      <c r="AU246" s="6">
        <v>6029196</v>
      </c>
      <c r="AV246" s="6">
        <v>6068285</v>
      </c>
      <c r="AW246" s="6">
        <v>6103464</v>
      </c>
      <c r="AX246" s="6">
        <v>6129733</v>
      </c>
      <c r="AY246" s="6">
        <v>6186054</v>
      </c>
      <c r="AZ246" s="6">
        <v>6270112</v>
      </c>
      <c r="BA246" s="6">
        <v>6320756</v>
      </c>
      <c r="BB246" s="6">
        <v>6354694</v>
      </c>
      <c r="BC246" s="7">
        <v>6362810</v>
      </c>
      <c r="BD246" s="6">
        <v>6410341</v>
      </c>
      <c r="BE246" s="6">
        <v>6438242</v>
      </c>
      <c r="BF246" s="6">
        <v>6469537</v>
      </c>
      <c r="BG246" s="6">
        <v>6499856</v>
      </c>
      <c r="BH246" s="6">
        <v>3920627</v>
      </c>
      <c r="BI246" s="6"/>
      <c r="BJ246" s="6"/>
      <c r="BK246" s="6"/>
      <c r="BL246" s="6"/>
      <c r="BM246" s="6"/>
      <c r="BN246" s="11"/>
      <c r="BO246" s="97"/>
    </row>
    <row r="247" spans="1:67" ht="21" customHeight="1">
      <c r="A247" s="5"/>
      <c r="B247" s="5"/>
      <c r="C247" s="5"/>
      <c r="D247" s="26" t="s">
        <v>24</v>
      </c>
      <c r="E247" s="26"/>
      <c r="F247" s="26"/>
      <c r="G247" s="6"/>
      <c r="H247" s="6"/>
      <c r="I247" s="6"/>
      <c r="J247" s="6"/>
      <c r="K247" s="6"/>
      <c r="L247" s="6"/>
      <c r="M247" s="6"/>
      <c r="N247" s="7"/>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5"/>
      <c r="AU247" s="5"/>
      <c r="AV247" s="5"/>
      <c r="AW247" s="5"/>
      <c r="AX247" s="6">
        <v>2686260</v>
      </c>
      <c r="AY247" s="6">
        <v>2380174</v>
      </c>
      <c r="AZ247" s="6">
        <v>2114468</v>
      </c>
      <c r="BA247" s="6">
        <v>1758868</v>
      </c>
      <c r="BB247" s="6">
        <v>1562272</v>
      </c>
      <c r="BC247" s="7">
        <v>1481516</v>
      </c>
      <c r="BD247" s="6">
        <v>1031512</v>
      </c>
      <c r="BE247" s="6">
        <v>500285</v>
      </c>
      <c r="BF247" s="6">
        <v>348949</v>
      </c>
      <c r="BG247" s="6">
        <v>126100</v>
      </c>
      <c r="BH247" s="6">
        <v>67043</v>
      </c>
      <c r="BI247" s="6">
        <v>54125</v>
      </c>
      <c r="BJ247" s="6">
        <v>20892</v>
      </c>
      <c r="BK247" s="6">
        <v>16470</v>
      </c>
      <c r="BL247" s="6">
        <v>13006</v>
      </c>
      <c r="BM247" s="6">
        <v>9576</v>
      </c>
      <c r="BN247" s="11"/>
      <c r="BO247" s="97"/>
    </row>
    <row r="248" spans="1:67" ht="21" customHeight="1">
      <c r="A248" s="5"/>
      <c r="B248" s="5"/>
      <c r="C248" s="5"/>
      <c r="D248" s="26" t="s">
        <v>25</v>
      </c>
      <c r="E248" s="26"/>
      <c r="F248" s="26"/>
      <c r="G248" s="6"/>
      <c r="H248" s="6"/>
      <c r="I248" s="6"/>
      <c r="J248" s="6"/>
      <c r="K248" s="6"/>
      <c r="L248" s="6"/>
      <c r="M248" s="6"/>
      <c r="N248" s="7"/>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5"/>
      <c r="AU248" s="5"/>
      <c r="AV248" s="5"/>
      <c r="AW248" s="5"/>
      <c r="AX248" s="6"/>
      <c r="AY248" s="6"/>
      <c r="AZ248" s="6"/>
      <c r="BA248" s="6"/>
      <c r="BB248" s="6"/>
      <c r="BC248" s="7"/>
      <c r="BD248" s="6"/>
      <c r="BE248" s="6">
        <v>20611494</v>
      </c>
      <c r="BF248" s="6">
        <v>22076270</v>
      </c>
      <c r="BG248" s="6">
        <v>23158305</v>
      </c>
      <c r="BH248" s="6">
        <v>25481315</v>
      </c>
      <c r="BI248" s="6">
        <v>22885944</v>
      </c>
      <c r="BJ248" s="6">
        <v>20751617</v>
      </c>
      <c r="BK248" s="6">
        <v>15670038</v>
      </c>
      <c r="BL248" s="6">
        <v>16294611</v>
      </c>
      <c r="BM248" s="6">
        <v>11582575</v>
      </c>
      <c r="BN248" s="11"/>
      <c r="BO248" s="97"/>
    </row>
    <row r="249" spans="1:67" ht="21" customHeight="1">
      <c r="A249" s="5"/>
      <c r="B249" s="5"/>
      <c r="C249" s="5"/>
      <c r="D249" s="26" t="s">
        <v>26</v>
      </c>
      <c r="E249" s="26"/>
      <c r="F249" s="26"/>
      <c r="G249" s="6"/>
      <c r="H249" s="6"/>
      <c r="I249" s="6"/>
      <c r="J249" s="6"/>
      <c r="K249" s="6"/>
      <c r="L249" s="6"/>
      <c r="M249" s="6"/>
      <c r="N249" s="7"/>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5"/>
      <c r="AU249" s="5"/>
      <c r="AV249" s="5"/>
      <c r="AW249" s="5"/>
      <c r="AX249" s="6"/>
      <c r="AY249" s="6"/>
      <c r="AZ249" s="6"/>
      <c r="BA249" s="6"/>
      <c r="BB249" s="6"/>
      <c r="BC249" s="7"/>
      <c r="BD249" s="6"/>
      <c r="BE249" s="6">
        <v>34590169</v>
      </c>
      <c r="BF249" s="6">
        <v>35208484</v>
      </c>
      <c r="BG249" s="6">
        <v>38201156</v>
      </c>
      <c r="BH249" s="6">
        <v>30779373</v>
      </c>
      <c r="BI249" s="6">
        <v>9747295</v>
      </c>
      <c r="BJ249" s="6">
        <v>8910468</v>
      </c>
      <c r="BK249" s="6">
        <v>8385175</v>
      </c>
      <c r="BL249" s="6">
        <v>9036269</v>
      </c>
      <c r="BM249" s="6">
        <v>10616248</v>
      </c>
      <c r="BN249" s="11"/>
      <c r="BO249" s="97"/>
    </row>
    <row r="250" spans="1:67" ht="21" customHeight="1">
      <c r="A250" s="5"/>
      <c r="B250" s="5"/>
      <c r="C250" s="5" t="s">
        <v>27</v>
      </c>
      <c r="D250" s="5"/>
      <c r="E250" s="5"/>
      <c r="F250" s="5"/>
      <c r="G250" s="21"/>
      <c r="H250" s="21"/>
      <c r="I250" s="21"/>
      <c r="J250" s="21"/>
      <c r="K250" s="21"/>
      <c r="L250" s="21"/>
      <c r="M250" s="21"/>
      <c r="N250" s="98"/>
      <c r="O250" s="21"/>
      <c r="P250" s="21"/>
      <c r="Q250" s="21"/>
      <c r="R250" s="21"/>
      <c r="S250" s="21"/>
      <c r="T250" s="21"/>
      <c r="U250" s="21"/>
      <c r="V250" s="21"/>
      <c r="W250" s="21"/>
      <c r="X250" s="21"/>
      <c r="Y250" s="21"/>
      <c r="Z250" s="21"/>
      <c r="AA250" s="21"/>
      <c r="AB250" s="21"/>
      <c r="AC250" s="21"/>
      <c r="AD250" s="21"/>
      <c r="AE250" s="21">
        <f aca="true" t="shared" si="28" ref="AE250:AK250">SUM(AE251:AE254)</f>
        <v>885000</v>
      </c>
      <c r="AF250" s="21">
        <f t="shared" si="28"/>
        <v>6546661</v>
      </c>
      <c r="AG250" s="21">
        <f t="shared" si="28"/>
        <v>8915086</v>
      </c>
      <c r="AH250" s="21">
        <f t="shared" si="28"/>
        <v>12647107</v>
      </c>
      <c r="AI250" s="21">
        <f t="shared" si="28"/>
        <v>15373929</v>
      </c>
      <c r="AJ250" s="21">
        <f t="shared" si="28"/>
        <v>17478391</v>
      </c>
      <c r="AK250" s="21">
        <f t="shared" si="28"/>
        <v>17281558</v>
      </c>
      <c r="AL250" s="21"/>
      <c r="AM250" s="21"/>
      <c r="AN250" s="21"/>
      <c r="AO250" s="21"/>
      <c r="AP250" s="21"/>
      <c r="AQ250" s="21"/>
      <c r="AR250" s="21"/>
      <c r="AS250" s="21"/>
      <c r="AT250" s="21"/>
      <c r="AU250" s="21"/>
      <c r="AV250" s="21"/>
      <c r="AW250" s="21"/>
      <c r="AX250" s="21"/>
      <c r="AY250" s="21"/>
      <c r="AZ250" s="21"/>
      <c r="BA250" s="21"/>
      <c r="BB250" s="21"/>
      <c r="BC250" s="98"/>
      <c r="BD250" s="21"/>
      <c r="BE250" s="21"/>
      <c r="BF250" s="21"/>
      <c r="BG250" s="21"/>
      <c r="BH250" s="21"/>
      <c r="BI250" s="21"/>
      <c r="BJ250" s="21"/>
      <c r="BK250" s="21"/>
      <c r="BL250" s="21"/>
      <c r="BM250" s="21"/>
      <c r="BN250" s="11"/>
      <c r="BO250" s="97"/>
    </row>
    <row r="251" spans="1:67" ht="21" customHeight="1">
      <c r="A251" s="5"/>
      <c r="B251" s="5"/>
      <c r="C251" s="5"/>
      <c r="D251" s="5" t="s">
        <v>28</v>
      </c>
      <c r="E251" s="5"/>
      <c r="F251" s="5"/>
      <c r="G251" s="6"/>
      <c r="H251" s="6"/>
      <c r="I251" s="6"/>
      <c r="J251" s="6"/>
      <c r="K251" s="6"/>
      <c r="L251" s="6"/>
      <c r="M251" s="6"/>
      <c r="N251" s="7"/>
      <c r="O251" s="6"/>
      <c r="P251" s="6"/>
      <c r="Q251" s="6"/>
      <c r="R251" s="6"/>
      <c r="S251" s="6"/>
      <c r="T251" s="6"/>
      <c r="U251" s="6"/>
      <c r="V251" s="6"/>
      <c r="W251" s="6"/>
      <c r="X251" s="6"/>
      <c r="Y251" s="6"/>
      <c r="Z251" s="6"/>
      <c r="AA251" s="6"/>
      <c r="AB251" s="6"/>
      <c r="AC251" s="6"/>
      <c r="AD251" s="6"/>
      <c r="AE251" s="6"/>
      <c r="AF251" s="6">
        <v>3072836</v>
      </c>
      <c r="AG251" s="6">
        <v>5334980</v>
      </c>
      <c r="AH251" s="6">
        <v>10154520</v>
      </c>
      <c r="AI251" s="6">
        <v>12452629</v>
      </c>
      <c r="AJ251" s="6">
        <v>13210020</v>
      </c>
      <c r="AK251" s="6">
        <v>10424072</v>
      </c>
      <c r="AL251" s="6">
        <v>14037344</v>
      </c>
      <c r="AM251" s="6">
        <v>15223207</v>
      </c>
      <c r="AN251" s="6">
        <v>14215952</v>
      </c>
      <c r="AO251" s="6">
        <v>15456113</v>
      </c>
      <c r="AP251" s="6">
        <v>16786079</v>
      </c>
      <c r="AQ251" s="6">
        <v>18506240</v>
      </c>
      <c r="AR251" s="6">
        <v>20807007</v>
      </c>
      <c r="AS251" s="6">
        <v>23239088</v>
      </c>
      <c r="AT251" s="6">
        <v>28678486</v>
      </c>
      <c r="AU251" s="6">
        <v>35652538</v>
      </c>
      <c r="AV251" s="6">
        <v>41447740</v>
      </c>
      <c r="AW251" s="6">
        <v>47678696</v>
      </c>
      <c r="AX251" s="6">
        <v>56835766</v>
      </c>
      <c r="AY251" s="6">
        <v>62277994</v>
      </c>
      <c r="AZ251" s="6">
        <v>65364158</v>
      </c>
      <c r="BA251" s="6">
        <v>59220922</v>
      </c>
      <c r="BB251" s="6">
        <v>50587248</v>
      </c>
      <c r="BC251" s="7">
        <v>44474936</v>
      </c>
      <c r="BD251" s="6">
        <v>37645117</v>
      </c>
      <c r="BE251" s="6"/>
      <c r="BF251" s="6"/>
      <c r="BG251" s="6"/>
      <c r="BH251" s="6"/>
      <c r="BI251" s="6"/>
      <c r="BJ251" s="6"/>
      <c r="BK251" s="6"/>
      <c r="BL251" s="6"/>
      <c r="BM251" s="6"/>
      <c r="BN251" s="11"/>
      <c r="BO251" s="11"/>
    </row>
    <row r="252" spans="1:67" ht="21" customHeight="1">
      <c r="A252" s="5"/>
      <c r="B252" s="5"/>
      <c r="C252" s="5"/>
      <c r="D252" s="5" t="s">
        <v>29</v>
      </c>
      <c r="E252" s="5"/>
      <c r="F252" s="5"/>
      <c r="G252" s="6"/>
      <c r="H252" s="6"/>
      <c r="I252" s="6"/>
      <c r="J252" s="6"/>
      <c r="K252" s="6"/>
      <c r="L252" s="6"/>
      <c r="M252" s="6"/>
      <c r="N252" s="7"/>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7"/>
      <c r="BD252" s="6"/>
      <c r="BE252" s="6">
        <v>18810554</v>
      </c>
      <c r="BF252" s="6">
        <v>20084665</v>
      </c>
      <c r="BG252" s="6">
        <v>19485847</v>
      </c>
      <c r="BH252" s="6">
        <v>15625978</v>
      </c>
      <c r="BI252" s="6">
        <v>10058152</v>
      </c>
      <c r="BJ252" s="6">
        <v>10491807</v>
      </c>
      <c r="BK252" s="6">
        <v>11148931</v>
      </c>
      <c r="BL252" s="6">
        <v>11698612</v>
      </c>
      <c r="BM252" s="6">
        <v>11384882</v>
      </c>
      <c r="BN252" s="11"/>
      <c r="BO252" s="11"/>
    </row>
    <row r="253" spans="1:67" ht="21" customHeight="1">
      <c r="A253" s="5"/>
      <c r="B253" s="5"/>
      <c r="C253" s="5"/>
      <c r="D253" s="5" t="s">
        <v>30</v>
      </c>
      <c r="E253" s="5"/>
      <c r="F253" s="5"/>
      <c r="G253" s="6"/>
      <c r="H253" s="6"/>
      <c r="I253" s="6"/>
      <c r="J253" s="6"/>
      <c r="K253" s="6"/>
      <c r="L253" s="6"/>
      <c r="M253" s="6"/>
      <c r="N253" s="7"/>
      <c r="O253" s="6"/>
      <c r="P253" s="6"/>
      <c r="Q253" s="6"/>
      <c r="R253" s="6"/>
      <c r="S253" s="6"/>
      <c r="T253" s="6"/>
      <c r="U253" s="6"/>
      <c r="V253" s="6"/>
      <c r="W253" s="6"/>
      <c r="X253" s="6"/>
      <c r="Y253" s="6"/>
      <c r="Z253" s="6"/>
      <c r="AA253" s="6"/>
      <c r="AB253" s="6"/>
      <c r="AC253" s="6"/>
      <c r="AD253" s="6"/>
      <c r="AE253" s="6"/>
      <c r="AF253" s="6">
        <v>2101623</v>
      </c>
      <c r="AG253" s="6">
        <v>2980743</v>
      </c>
      <c r="AH253" s="6">
        <v>2000995</v>
      </c>
      <c r="AI253" s="6">
        <v>2074866</v>
      </c>
      <c r="AJ253" s="6">
        <v>3345626</v>
      </c>
      <c r="AK253" s="6">
        <v>4439992</v>
      </c>
      <c r="AL253" s="6">
        <v>2537553</v>
      </c>
      <c r="AM253" s="6">
        <v>895372</v>
      </c>
      <c r="AN253" s="6">
        <v>895372</v>
      </c>
      <c r="AO253" s="6">
        <v>855372</v>
      </c>
      <c r="AP253" s="6">
        <v>1186622</v>
      </c>
      <c r="AQ253" s="6">
        <v>1236622</v>
      </c>
      <c r="AR253" s="6">
        <v>1302622</v>
      </c>
      <c r="AS253" s="6">
        <v>1069936</v>
      </c>
      <c r="AT253" s="6">
        <v>2078184</v>
      </c>
      <c r="AU253" s="6">
        <v>5623310</v>
      </c>
      <c r="AV253" s="6">
        <v>8924207</v>
      </c>
      <c r="AW253" s="6">
        <v>13649077</v>
      </c>
      <c r="AX253" s="6">
        <v>17363326</v>
      </c>
      <c r="AY253" s="6">
        <v>17688211</v>
      </c>
      <c r="AZ253" s="6">
        <v>19792788</v>
      </c>
      <c r="BA253" s="6">
        <v>19335353</v>
      </c>
      <c r="BB253" s="6">
        <v>20672886</v>
      </c>
      <c r="BC253" s="7">
        <v>23988476</v>
      </c>
      <c r="BD253" s="6">
        <v>20711480</v>
      </c>
      <c r="BE253" s="6"/>
      <c r="BF253" s="6"/>
      <c r="BG253" s="6"/>
      <c r="BH253" s="6"/>
      <c r="BI253" s="6"/>
      <c r="BJ253" s="6"/>
      <c r="BK253" s="6"/>
      <c r="BL253" s="6"/>
      <c r="BM253" s="6"/>
      <c r="BN253" s="11"/>
      <c r="BO253" s="11"/>
    </row>
    <row r="254" spans="1:67" ht="21" customHeight="1">
      <c r="A254" s="5"/>
      <c r="B254" s="5"/>
      <c r="C254" s="5"/>
      <c r="D254" s="5" t="s">
        <v>31</v>
      </c>
      <c r="E254" s="5"/>
      <c r="F254" s="5"/>
      <c r="G254" s="6"/>
      <c r="H254" s="6"/>
      <c r="I254" s="6"/>
      <c r="J254" s="6"/>
      <c r="K254" s="6"/>
      <c r="L254" s="6"/>
      <c r="M254" s="6"/>
      <c r="N254" s="7"/>
      <c r="O254" s="6"/>
      <c r="P254" s="6"/>
      <c r="Q254" s="6"/>
      <c r="R254" s="6"/>
      <c r="S254" s="6"/>
      <c r="T254" s="6"/>
      <c r="U254" s="6"/>
      <c r="V254" s="6"/>
      <c r="W254" s="6"/>
      <c r="X254" s="6"/>
      <c r="Y254" s="6"/>
      <c r="Z254" s="6"/>
      <c r="AA254" s="6"/>
      <c r="AB254" s="6"/>
      <c r="AC254" s="6"/>
      <c r="AD254" s="6"/>
      <c r="AE254" s="6">
        <v>885000</v>
      </c>
      <c r="AF254" s="6">
        <v>1372202</v>
      </c>
      <c r="AG254" s="6">
        <v>599363</v>
      </c>
      <c r="AH254" s="6">
        <v>491592</v>
      </c>
      <c r="AI254" s="6">
        <v>846434</v>
      </c>
      <c r="AJ254" s="6">
        <v>922745</v>
      </c>
      <c r="AK254" s="6">
        <v>2417494</v>
      </c>
      <c r="AL254" s="6">
        <v>2994879</v>
      </c>
      <c r="AM254" s="6">
        <v>3068605</v>
      </c>
      <c r="AN254" s="6">
        <v>3156333</v>
      </c>
      <c r="AO254" s="6">
        <v>3261098</v>
      </c>
      <c r="AP254" s="6">
        <v>3547171</v>
      </c>
      <c r="AQ254" s="6">
        <v>3133405</v>
      </c>
      <c r="AR254" s="6">
        <v>3370622</v>
      </c>
      <c r="AS254" s="6">
        <v>4700104</v>
      </c>
      <c r="AT254" s="6">
        <v>5112515</v>
      </c>
      <c r="AU254" s="6">
        <v>7022347</v>
      </c>
      <c r="AV254" s="6">
        <v>6798220</v>
      </c>
      <c r="AW254" s="6">
        <v>8845672</v>
      </c>
      <c r="AX254" s="6">
        <v>10296536</v>
      </c>
      <c r="AY254" s="6">
        <v>12634732</v>
      </c>
      <c r="AZ254" s="6">
        <v>16454072</v>
      </c>
      <c r="BA254" s="6">
        <v>19840152</v>
      </c>
      <c r="BB254" s="6">
        <v>27520218</v>
      </c>
      <c r="BC254" s="7">
        <v>29850892</v>
      </c>
      <c r="BD254" s="6">
        <v>42896149</v>
      </c>
      <c r="BE254" s="6"/>
      <c r="BF254" s="6"/>
      <c r="BG254" s="6"/>
      <c r="BH254" s="6"/>
      <c r="BI254" s="6"/>
      <c r="BJ254" s="6"/>
      <c r="BK254" s="6"/>
      <c r="BL254" s="6"/>
      <c r="BM254" s="6"/>
      <c r="BN254" s="11"/>
      <c r="BO254" s="11"/>
    </row>
    <row r="255" spans="1:67" ht="21" customHeight="1">
      <c r="A255" s="5"/>
      <c r="B255" s="5"/>
      <c r="C255" s="5"/>
      <c r="D255" s="26" t="s">
        <v>32</v>
      </c>
      <c r="E255" s="26"/>
      <c r="F255" s="26"/>
      <c r="G255" s="14"/>
      <c r="H255" s="14"/>
      <c r="I255" s="14"/>
      <c r="J255" s="14"/>
      <c r="K255" s="14"/>
      <c r="L255" s="14"/>
      <c r="M255" s="14"/>
      <c r="N255" s="16"/>
      <c r="O255" s="14"/>
      <c r="P255" s="14"/>
      <c r="Q255" s="14"/>
      <c r="R255" s="14"/>
      <c r="S255" s="14"/>
      <c r="T255" s="14"/>
      <c r="U255" s="14"/>
      <c r="V255" s="14"/>
      <c r="W255" s="14"/>
      <c r="X255" s="14"/>
      <c r="Y255" s="14"/>
      <c r="Z255" s="14"/>
      <c r="AA255" s="14"/>
      <c r="AB255" s="14"/>
      <c r="AC255" s="14"/>
      <c r="AD255" s="14"/>
      <c r="AE255" s="99"/>
      <c r="AF255" s="99"/>
      <c r="AG255" s="99"/>
      <c r="AH255" s="99"/>
      <c r="AI255" s="99"/>
      <c r="AJ255" s="99"/>
      <c r="AK255" s="99"/>
      <c r="AL255" s="99"/>
      <c r="AM255" s="99"/>
      <c r="AN255" s="99"/>
      <c r="AO255" s="99"/>
      <c r="AP255" s="99"/>
      <c r="AQ255" s="99"/>
      <c r="AR255" s="99"/>
      <c r="AS255" s="99"/>
      <c r="AT255" s="5"/>
      <c r="AU255" s="5"/>
      <c r="AV255" s="5"/>
      <c r="AW255" s="6">
        <v>1363854</v>
      </c>
      <c r="AX255" s="5"/>
      <c r="AY255" s="5"/>
      <c r="AZ255" s="5"/>
      <c r="BA255" s="5"/>
      <c r="BB255" s="5"/>
      <c r="BC255" s="31"/>
      <c r="BD255" s="5"/>
      <c r="BE255" s="5"/>
      <c r="BF255" s="5"/>
      <c r="BG255" s="5"/>
      <c r="BH255" s="5"/>
      <c r="BI255" s="5"/>
      <c r="BJ255" s="5"/>
      <c r="BK255" s="5"/>
      <c r="BL255" s="5"/>
      <c r="BM255" s="5"/>
      <c r="BN255" s="11"/>
      <c r="BO255" s="11"/>
    </row>
    <row r="256" spans="1:67" ht="21" customHeight="1">
      <c r="A256" s="5"/>
      <c r="B256" s="5"/>
      <c r="C256" s="5"/>
      <c r="D256" s="26" t="s">
        <v>33</v>
      </c>
      <c r="E256" s="26"/>
      <c r="F256" s="26"/>
      <c r="G256" s="6"/>
      <c r="H256" s="6"/>
      <c r="I256" s="6"/>
      <c r="J256" s="6"/>
      <c r="K256" s="6"/>
      <c r="L256" s="6"/>
      <c r="M256" s="6"/>
      <c r="N256" s="7"/>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v>80054</v>
      </c>
      <c r="AU256" s="6">
        <v>87120</v>
      </c>
      <c r="AV256" s="6">
        <v>86452</v>
      </c>
      <c r="AW256" s="6">
        <v>196297</v>
      </c>
      <c r="AX256" s="6">
        <v>316411</v>
      </c>
      <c r="AY256" s="6">
        <v>319828</v>
      </c>
      <c r="AZ256" s="6">
        <v>340366</v>
      </c>
      <c r="BA256" s="6">
        <v>373069</v>
      </c>
      <c r="BB256" s="6">
        <v>399641</v>
      </c>
      <c r="BC256" s="7">
        <v>400103</v>
      </c>
      <c r="BD256" s="6">
        <v>407349</v>
      </c>
      <c r="BE256" s="6">
        <v>297626</v>
      </c>
      <c r="BF256" s="6">
        <v>293861</v>
      </c>
      <c r="BG256" s="6">
        <v>331398</v>
      </c>
      <c r="BH256" s="6">
        <v>336892</v>
      </c>
      <c r="BI256" s="6">
        <v>317491</v>
      </c>
      <c r="BJ256" s="6">
        <v>381430</v>
      </c>
      <c r="BK256" s="6">
        <v>692691</v>
      </c>
      <c r="BL256" s="6">
        <v>740056</v>
      </c>
      <c r="BM256" s="6">
        <v>896947</v>
      </c>
      <c r="BN256" s="11"/>
      <c r="BO256" s="11"/>
    </row>
    <row r="257" spans="1:67" ht="21" customHeight="1">
      <c r="A257" s="5"/>
      <c r="B257" s="5"/>
      <c r="C257" s="5"/>
      <c r="D257" s="26" t="s">
        <v>34</v>
      </c>
      <c r="E257" s="26"/>
      <c r="F257" s="26"/>
      <c r="G257" s="6"/>
      <c r="H257" s="6"/>
      <c r="I257" s="6"/>
      <c r="J257" s="6"/>
      <c r="K257" s="6"/>
      <c r="L257" s="6"/>
      <c r="M257" s="6"/>
      <c r="N257" s="7"/>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7"/>
      <c r="BD257" s="6"/>
      <c r="BE257" s="6">
        <v>13438216</v>
      </c>
      <c r="BF257" s="6">
        <v>16234685</v>
      </c>
      <c r="BG257" s="6">
        <v>16155353</v>
      </c>
      <c r="BH257" s="6">
        <v>16705796</v>
      </c>
      <c r="BI257" s="6">
        <v>14883708</v>
      </c>
      <c r="BJ257" s="6">
        <v>14767989</v>
      </c>
      <c r="BK257" s="6">
        <v>12122359</v>
      </c>
      <c r="BL257" s="6">
        <v>12508889</v>
      </c>
      <c r="BM257" s="6">
        <v>11807549</v>
      </c>
      <c r="BN257" s="11"/>
      <c r="BO257" s="11"/>
    </row>
    <row r="258" spans="1:67" ht="21" customHeight="1">
      <c r="A258" s="5"/>
      <c r="B258" s="5"/>
      <c r="C258" s="5" t="s">
        <v>35</v>
      </c>
      <c r="D258" s="5"/>
      <c r="E258" s="5"/>
      <c r="F258" s="5"/>
      <c r="G258" s="6"/>
      <c r="H258" s="6"/>
      <c r="I258" s="6"/>
      <c r="J258" s="6"/>
      <c r="K258" s="6"/>
      <c r="L258" s="6"/>
      <c r="M258" s="6"/>
      <c r="N258" s="7"/>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7"/>
      <c r="BD258" s="6"/>
      <c r="BE258" s="6"/>
      <c r="BF258" s="6"/>
      <c r="BG258" s="6"/>
      <c r="BH258" s="6">
        <v>7662442</v>
      </c>
      <c r="BI258" s="6">
        <v>15068792</v>
      </c>
      <c r="BJ258" s="6">
        <v>14898264</v>
      </c>
      <c r="BK258" s="6">
        <v>19681602</v>
      </c>
      <c r="BL258" s="6">
        <v>18112186</v>
      </c>
      <c r="BM258" s="6">
        <v>17137100</v>
      </c>
      <c r="BN258" s="11"/>
      <c r="BO258" s="11"/>
    </row>
    <row r="259" spans="1:67" ht="21" customHeight="1">
      <c r="A259" s="5"/>
      <c r="B259" s="5"/>
      <c r="C259" s="5"/>
      <c r="D259" s="5" t="s">
        <v>36</v>
      </c>
      <c r="E259" s="5"/>
      <c r="F259" s="5"/>
      <c r="G259" s="6"/>
      <c r="H259" s="6"/>
      <c r="I259" s="6"/>
      <c r="J259" s="6"/>
      <c r="K259" s="6"/>
      <c r="L259" s="6"/>
      <c r="M259" s="6"/>
      <c r="N259" s="7"/>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7"/>
      <c r="BD259" s="6"/>
      <c r="BE259" s="6"/>
      <c r="BF259" s="6"/>
      <c r="BG259" s="6"/>
      <c r="BH259" s="6"/>
      <c r="BI259" s="6"/>
      <c r="BJ259" s="6">
        <v>14898264</v>
      </c>
      <c r="BK259" s="6">
        <v>19681602</v>
      </c>
      <c r="BL259" s="6">
        <v>18112186</v>
      </c>
      <c r="BM259" s="6">
        <v>17137100</v>
      </c>
      <c r="BN259" s="11"/>
      <c r="BO259" s="11"/>
    </row>
    <row r="260" spans="1:67" ht="21" customHeight="1">
      <c r="A260" s="5"/>
      <c r="B260" s="5"/>
      <c r="C260" s="90" t="s">
        <v>339</v>
      </c>
      <c r="D260" s="90"/>
      <c r="E260" s="90"/>
      <c r="F260" s="90"/>
      <c r="G260" s="6"/>
      <c r="H260" s="6"/>
      <c r="I260" s="6"/>
      <c r="J260" s="6"/>
      <c r="K260" s="6"/>
      <c r="L260" s="6"/>
      <c r="M260" s="6"/>
      <c r="N260" s="7"/>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7"/>
      <c r="BD260" s="6"/>
      <c r="BE260" s="6"/>
      <c r="BF260" s="6"/>
      <c r="BG260" s="6"/>
      <c r="BH260" s="6"/>
      <c r="BI260" s="6"/>
      <c r="BJ260" s="6"/>
      <c r="BK260" s="86">
        <v>29700000</v>
      </c>
      <c r="BL260" s="6"/>
      <c r="BM260" s="6"/>
      <c r="BN260" s="11"/>
      <c r="BO260" s="11"/>
    </row>
    <row r="261" spans="1:67" ht="21" customHeight="1">
      <c r="A261" s="5"/>
      <c r="B261" s="5"/>
      <c r="C261" s="5" t="s">
        <v>338</v>
      </c>
      <c r="D261" s="5"/>
      <c r="E261" s="5"/>
      <c r="F261" s="5"/>
      <c r="G261" s="6"/>
      <c r="H261" s="6"/>
      <c r="I261" s="6"/>
      <c r="J261" s="6"/>
      <c r="K261" s="6"/>
      <c r="L261" s="6"/>
      <c r="M261" s="6"/>
      <c r="N261" s="7"/>
      <c r="O261" s="6"/>
      <c r="P261" s="6"/>
      <c r="Q261" s="6"/>
      <c r="R261" s="6"/>
      <c r="S261" s="6"/>
      <c r="T261" s="6"/>
      <c r="U261" s="6"/>
      <c r="V261" s="6"/>
      <c r="W261" s="6"/>
      <c r="X261" s="6"/>
      <c r="Y261" s="6"/>
      <c r="Z261" s="6"/>
      <c r="AA261" s="6"/>
      <c r="AB261" s="6"/>
      <c r="AC261" s="6"/>
      <c r="AD261" s="6"/>
      <c r="AE261" s="6">
        <v>8350</v>
      </c>
      <c r="AF261" s="6">
        <v>28652</v>
      </c>
      <c r="AG261" s="6">
        <v>47054</v>
      </c>
      <c r="AH261" s="6">
        <v>61647</v>
      </c>
      <c r="AI261" s="6">
        <v>74732</v>
      </c>
      <c r="AJ261" s="6">
        <v>83383</v>
      </c>
      <c r="AK261" s="6">
        <v>171815</v>
      </c>
      <c r="AL261" s="6">
        <v>339624</v>
      </c>
      <c r="AM261" s="6">
        <v>370069</v>
      </c>
      <c r="AN261" s="6">
        <v>493172</v>
      </c>
      <c r="AO261" s="6">
        <v>473547</v>
      </c>
      <c r="AP261" s="6">
        <v>482547</v>
      </c>
      <c r="AQ261" s="6">
        <v>749525</v>
      </c>
      <c r="AR261" s="6">
        <v>761860</v>
      </c>
      <c r="AS261" s="6">
        <v>840171</v>
      </c>
      <c r="AT261" s="6">
        <v>990806</v>
      </c>
      <c r="AU261" s="6">
        <v>1074542</v>
      </c>
      <c r="AV261" s="6">
        <v>1154793</v>
      </c>
      <c r="AW261" s="6">
        <v>1221826</v>
      </c>
      <c r="AX261" s="6">
        <v>1284217</v>
      </c>
      <c r="AY261" s="6">
        <v>1345554</v>
      </c>
      <c r="AZ261" s="6">
        <v>1413007</v>
      </c>
      <c r="BA261" s="6">
        <v>1493737</v>
      </c>
      <c r="BB261" s="6">
        <v>1531464</v>
      </c>
      <c r="BC261" s="7">
        <v>1592746</v>
      </c>
      <c r="BD261" s="6">
        <v>1658623</v>
      </c>
      <c r="BE261" s="6">
        <v>2103860</v>
      </c>
      <c r="BF261" s="6">
        <v>2842366</v>
      </c>
      <c r="BG261" s="6">
        <v>2342201</v>
      </c>
      <c r="BH261" s="6">
        <v>3583934</v>
      </c>
      <c r="BI261" s="6">
        <v>1850825</v>
      </c>
      <c r="BJ261" s="6">
        <v>1839300</v>
      </c>
      <c r="BK261" s="6">
        <v>1665501</v>
      </c>
      <c r="BL261" s="6">
        <v>6352066</v>
      </c>
      <c r="BM261" s="6">
        <v>6487901</v>
      </c>
      <c r="BN261" s="11"/>
      <c r="BO261" s="11"/>
    </row>
    <row r="262" spans="1:67" ht="21" customHeight="1">
      <c r="A262" s="5"/>
      <c r="B262" s="5"/>
      <c r="C262" s="5" t="s">
        <v>353</v>
      </c>
      <c r="D262" s="5"/>
      <c r="E262" s="5"/>
      <c r="F262" s="5"/>
      <c r="G262" s="6"/>
      <c r="H262" s="6"/>
      <c r="I262" s="6"/>
      <c r="J262" s="6"/>
      <c r="K262" s="6"/>
      <c r="L262" s="6"/>
      <c r="M262" s="6"/>
      <c r="N262" s="7"/>
      <c r="O262" s="6"/>
      <c r="P262" s="6"/>
      <c r="Q262" s="6"/>
      <c r="R262" s="6"/>
      <c r="S262" s="6"/>
      <c r="T262" s="6"/>
      <c r="U262" s="6"/>
      <c r="V262" s="6"/>
      <c r="W262" s="6"/>
      <c r="X262" s="6"/>
      <c r="Y262" s="6"/>
      <c r="Z262" s="6"/>
      <c r="AA262" s="6"/>
      <c r="AB262" s="6"/>
      <c r="AC262" s="6"/>
      <c r="AD262" s="6"/>
      <c r="AE262" s="6">
        <v>0</v>
      </c>
      <c r="AF262" s="6">
        <v>100</v>
      </c>
      <c r="AG262" s="6">
        <v>100</v>
      </c>
      <c r="AH262" s="6">
        <v>100</v>
      </c>
      <c r="AI262" s="6">
        <v>100</v>
      </c>
      <c r="AJ262" s="6">
        <v>100</v>
      </c>
      <c r="AK262" s="6">
        <v>100</v>
      </c>
      <c r="AL262" s="6">
        <v>100</v>
      </c>
      <c r="AM262" s="6">
        <v>100</v>
      </c>
      <c r="AN262" s="6">
        <v>100</v>
      </c>
      <c r="AO262" s="6">
        <v>100</v>
      </c>
      <c r="AP262" s="6">
        <v>100</v>
      </c>
      <c r="AQ262" s="6">
        <v>100</v>
      </c>
      <c r="AR262" s="6">
        <v>100</v>
      </c>
      <c r="AS262" s="6">
        <v>100</v>
      </c>
      <c r="AT262" s="6">
        <v>100</v>
      </c>
      <c r="AU262" s="6">
        <v>100</v>
      </c>
      <c r="AV262" s="6">
        <v>100</v>
      </c>
      <c r="AW262" s="6">
        <v>100</v>
      </c>
      <c r="AX262" s="6">
        <v>100</v>
      </c>
      <c r="AY262" s="6">
        <v>100</v>
      </c>
      <c r="AZ262" s="6">
        <v>100</v>
      </c>
      <c r="BA262" s="6">
        <v>100</v>
      </c>
      <c r="BB262" s="6">
        <v>100</v>
      </c>
      <c r="BC262" s="7">
        <v>100</v>
      </c>
      <c r="BD262" s="6">
        <v>100</v>
      </c>
      <c r="BE262" s="6">
        <v>100</v>
      </c>
      <c r="BF262" s="6">
        <v>100</v>
      </c>
      <c r="BG262" s="6">
        <v>100</v>
      </c>
      <c r="BH262" s="6">
        <v>100</v>
      </c>
      <c r="BI262" s="6">
        <v>100</v>
      </c>
      <c r="BJ262" s="6">
        <v>100</v>
      </c>
      <c r="BK262" s="6">
        <v>100</v>
      </c>
      <c r="BL262" s="6">
        <v>200</v>
      </c>
      <c r="BM262" s="6">
        <v>200</v>
      </c>
      <c r="BN262" s="11"/>
      <c r="BO262" s="11"/>
    </row>
    <row r="263" spans="1:67" ht="21" customHeight="1">
      <c r="A263" s="5"/>
      <c r="B263" s="5"/>
      <c r="C263" s="5" t="s">
        <v>37</v>
      </c>
      <c r="D263" s="5"/>
      <c r="E263" s="5"/>
      <c r="F263" s="5"/>
      <c r="G263" s="6"/>
      <c r="H263" s="6"/>
      <c r="I263" s="6"/>
      <c r="J263" s="6"/>
      <c r="K263" s="6"/>
      <c r="L263" s="6"/>
      <c r="M263" s="6"/>
      <c r="N263" s="7"/>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7"/>
      <c r="BD263" s="6"/>
      <c r="BE263" s="6"/>
      <c r="BF263" s="6"/>
      <c r="BG263" s="6"/>
      <c r="BH263" s="6">
        <v>26000000</v>
      </c>
      <c r="BI263" s="6">
        <v>53000000</v>
      </c>
      <c r="BJ263" s="6">
        <v>12500000</v>
      </c>
      <c r="BK263" s="6">
        <v>13600000</v>
      </c>
      <c r="BL263" s="6">
        <v>11000000</v>
      </c>
      <c r="BM263" s="6">
        <v>9600000</v>
      </c>
      <c r="BN263" s="11"/>
      <c r="BO263" s="11"/>
    </row>
    <row r="264" spans="1:67" ht="21" customHeight="1">
      <c r="A264" s="5"/>
      <c r="B264" s="5"/>
      <c r="C264" s="81" t="s">
        <v>334</v>
      </c>
      <c r="D264" s="82"/>
      <c r="E264" s="82"/>
      <c r="F264" s="82"/>
      <c r="G264" s="6"/>
      <c r="H264" s="6"/>
      <c r="I264" s="6"/>
      <c r="J264" s="6"/>
      <c r="K264" s="6"/>
      <c r="L264" s="6"/>
      <c r="M264" s="6"/>
      <c r="N264" s="7"/>
      <c r="O264" s="6"/>
      <c r="P264" s="6"/>
      <c r="Q264" s="6"/>
      <c r="R264" s="6"/>
      <c r="S264" s="6"/>
      <c r="T264" s="6"/>
      <c r="U264" s="6"/>
      <c r="V264" s="6"/>
      <c r="W264" s="6"/>
      <c r="X264" s="6"/>
      <c r="Y264" s="6"/>
      <c r="Z264" s="6"/>
      <c r="AA264" s="6"/>
      <c r="AB264" s="6"/>
      <c r="AC264" s="6"/>
      <c r="AD264" s="6"/>
      <c r="AE264" s="6">
        <v>18750</v>
      </c>
      <c r="AF264" s="6">
        <v>45587</v>
      </c>
      <c r="AG264" s="6">
        <v>48297</v>
      </c>
      <c r="AH264" s="6">
        <v>31250</v>
      </c>
      <c r="AI264" s="6">
        <v>32500</v>
      </c>
      <c r="AJ264" s="6">
        <v>16250</v>
      </c>
      <c r="AK264" s="6">
        <v>5730</v>
      </c>
      <c r="AL264" s="6">
        <v>6530</v>
      </c>
      <c r="AM264" s="6">
        <v>6138</v>
      </c>
      <c r="AN264" s="6">
        <v>6044</v>
      </c>
      <c r="AO264" s="6">
        <v>6225</v>
      </c>
      <c r="AP264" s="6">
        <v>9173</v>
      </c>
      <c r="AQ264" s="6">
        <v>9141</v>
      </c>
      <c r="AR264" s="6">
        <v>8882</v>
      </c>
      <c r="AS264" s="6">
        <v>7685</v>
      </c>
      <c r="AT264" s="6">
        <v>7313</v>
      </c>
      <c r="AU264" s="6">
        <v>7685</v>
      </c>
      <c r="AV264" s="6">
        <v>9644</v>
      </c>
      <c r="AW264" s="6">
        <v>9765</v>
      </c>
      <c r="AX264" s="6">
        <v>7233</v>
      </c>
      <c r="AY264" s="6">
        <v>5907</v>
      </c>
      <c r="AZ264" s="6">
        <v>5924</v>
      </c>
      <c r="BA264" s="6">
        <v>4364</v>
      </c>
      <c r="BB264" s="6">
        <v>4792</v>
      </c>
      <c r="BC264" s="7">
        <v>3068</v>
      </c>
      <c r="BD264" s="6">
        <v>1447</v>
      </c>
      <c r="BE264" s="6">
        <v>1260</v>
      </c>
      <c r="BF264" s="6">
        <v>1052</v>
      </c>
      <c r="BG264" s="6">
        <v>998</v>
      </c>
      <c r="BH264" s="6">
        <v>1069</v>
      </c>
      <c r="BI264" s="6">
        <v>1069</v>
      </c>
      <c r="BJ264" s="6">
        <v>1069</v>
      </c>
      <c r="BK264" s="6">
        <v>1069</v>
      </c>
      <c r="BL264" s="6"/>
      <c r="BM264" s="6"/>
      <c r="BN264" s="11"/>
      <c r="BO264" s="11"/>
    </row>
    <row r="265" spans="1:67" ht="21" customHeight="1">
      <c r="A265" s="5"/>
      <c r="B265" s="5"/>
      <c r="C265" s="5" t="s">
        <v>335</v>
      </c>
      <c r="D265" s="5"/>
      <c r="E265" s="5"/>
      <c r="F265" s="5"/>
      <c r="G265" s="6"/>
      <c r="H265" s="6"/>
      <c r="I265" s="6"/>
      <c r="J265" s="6"/>
      <c r="K265" s="6"/>
      <c r="L265" s="6"/>
      <c r="M265" s="6"/>
      <c r="N265" s="7"/>
      <c r="O265" s="6"/>
      <c r="P265" s="6"/>
      <c r="Q265" s="6"/>
      <c r="R265" s="6"/>
      <c r="S265" s="6"/>
      <c r="T265" s="6"/>
      <c r="U265" s="6"/>
      <c r="V265" s="6"/>
      <c r="W265" s="6"/>
      <c r="X265" s="6"/>
      <c r="Y265" s="6"/>
      <c r="Z265" s="6"/>
      <c r="AA265" s="6"/>
      <c r="AB265" s="6"/>
      <c r="AC265" s="6"/>
      <c r="AD265" s="6"/>
      <c r="AE265" s="6">
        <v>1000000</v>
      </c>
      <c r="AF265" s="6">
        <v>1000000</v>
      </c>
      <c r="AG265" s="6">
        <v>1000000</v>
      </c>
      <c r="AH265" s="6">
        <v>1000000</v>
      </c>
      <c r="AI265" s="6">
        <v>1000000</v>
      </c>
      <c r="AJ265" s="6">
        <v>1000000</v>
      </c>
      <c r="AK265" s="6">
        <v>1000000</v>
      </c>
      <c r="AL265" s="6">
        <v>1000000</v>
      </c>
      <c r="AM265" s="6">
        <v>1000000</v>
      </c>
      <c r="AN265" s="6">
        <v>1000000</v>
      </c>
      <c r="AO265" s="6">
        <v>1000000</v>
      </c>
      <c r="AP265" s="6">
        <v>1000000</v>
      </c>
      <c r="AQ265" s="6">
        <v>1000000</v>
      </c>
      <c r="AR265" s="6">
        <v>1000000</v>
      </c>
      <c r="AS265" s="6">
        <v>1000000</v>
      </c>
      <c r="AT265" s="6">
        <v>1000000</v>
      </c>
      <c r="AU265" s="6">
        <v>1000000</v>
      </c>
      <c r="AV265" s="6">
        <v>1010000</v>
      </c>
      <c r="AW265" s="6">
        <v>1000000</v>
      </c>
      <c r="AX265" s="6">
        <v>1000000</v>
      </c>
      <c r="AY265" s="6">
        <v>1000000</v>
      </c>
      <c r="AZ265" s="6">
        <v>1000000</v>
      </c>
      <c r="BA265" s="6">
        <v>1000000</v>
      </c>
      <c r="BB265" s="6">
        <v>1000000</v>
      </c>
      <c r="BC265" s="7">
        <v>1000000</v>
      </c>
      <c r="BD265" s="6">
        <v>1000000</v>
      </c>
      <c r="BE265" s="6">
        <v>1000000</v>
      </c>
      <c r="BF265" s="6">
        <v>1000000</v>
      </c>
      <c r="BG265" s="6">
        <v>1000000</v>
      </c>
      <c r="BH265" s="6">
        <v>1000000</v>
      </c>
      <c r="BI265" s="6">
        <v>800000</v>
      </c>
      <c r="BJ265" s="6">
        <v>800000</v>
      </c>
      <c r="BK265" s="6">
        <v>800000</v>
      </c>
      <c r="BL265" s="6">
        <v>1200000</v>
      </c>
      <c r="BM265" s="6">
        <v>900000</v>
      </c>
      <c r="BN265" s="11"/>
      <c r="BO265" s="11"/>
    </row>
    <row r="266" spans="1:65" ht="21" customHeight="1">
      <c r="A266" s="5"/>
      <c r="B266" s="5"/>
      <c r="C266" s="5"/>
      <c r="D266" s="5"/>
      <c r="E266" s="5"/>
      <c r="F266" s="5"/>
      <c r="G266" s="6"/>
      <c r="H266" s="6"/>
      <c r="I266" s="6"/>
      <c r="J266" s="6"/>
      <c r="K266" s="6"/>
      <c r="L266" s="6"/>
      <c r="M266" s="6"/>
      <c r="N266" s="7"/>
      <c r="O266" s="6"/>
      <c r="P266" s="6"/>
      <c r="Q266" s="6"/>
      <c r="R266" s="6"/>
      <c r="S266" s="6"/>
      <c r="T266" s="6"/>
      <c r="U266" s="6"/>
      <c r="V266" s="6"/>
      <c r="W266" s="6"/>
      <c r="X266" s="6"/>
      <c r="Y266" s="6"/>
      <c r="Z266" s="6"/>
      <c r="AA266" s="6"/>
      <c r="AB266" s="6"/>
      <c r="AC266" s="6"/>
      <c r="AD266" s="6"/>
      <c r="AE266" s="6"/>
      <c r="AF266" s="6"/>
      <c r="AG266" s="6"/>
      <c r="AH266" s="6"/>
      <c r="AI266" s="6"/>
      <c r="AJ266" s="6"/>
      <c r="AK266" s="6"/>
      <c r="AL266" s="5"/>
      <c r="AM266" s="5"/>
      <c r="AN266" s="5"/>
      <c r="AO266" s="5"/>
      <c r="AP266" s="5"/>
      <c r="AQ266" s="5"/>
      <c r="AR266" s="5"/>
      <c r="AS266" s="6"/>
      <c r="AT266" s="6"/>
      <c r="AU266" s="6"/>
      <c r="AV266" s="6"/>
      <c r="AW266" s="6"/>
      <c r="AX266" s="6"/>
      <c r="AY266" s="6"/>
      <c r="AZ266" s="6"/>
      <c r="BA266" s="6"/>
      <c r="BB266" s="6"/>
      <c r="BC266" s="6"/>
      <c r="BD266" s="6"/>
      <c r="BE266" s="6"/>
      <c r="BF266" s="6"/>
      <c r="BG266" s="6"/>
      <c r="BH266" s="6"/>
      <c r="BI266" s="6"/>
      <c r="BJ266" s="6"/>
      <c r="BK266" s="6"/>
      <c r="BL266" s="6"/>
      <c r="BM266" s="6"/>
    </row>
    <row r="267" spans="1:66" ht="21" customHeight="1">
      <c r="A267" s="5" t="s">
        <v>38</v>
      </c>
      <c r="B267" s="5"/>
      <c r="C267" s="5"/>
      <c r="D267" s="5"/>
      <c r="E267" s="5"/>
      <c r="F267" s="5"/>
      <c r="G267" s="6"/>
      <c r="H267" s="6"/>
      <c r="I267" s="6"/>
      <c r="J267" s="6"/>
      <c r="K267" s="6"/>
      <c r="L267" s="6"/>
      <c r="M267" s="6"/>
      <c r="N267" s="7"/>
      <c r="O267" s="6"/>
      <c r="P267" s="6"/>
      <c r="Q267" s="6"/>
      <c r="R267" s="6"/>
      <c r="S267" s="6"/>
      <c r="T267" s="6"/>
      <c r="U267" s="6"/>
      <c r="V267" s="6"/>
      <c r="W267" s="6"/>
      <c r="X267" s="6"/>
      <c r="Y267" s="6"/>
      <c r="Z267" s="6"/>
      <c r="AA267" s="6"/>
      <c r="AB267" s="6"/>
      <c r="AC267" s="6"/>
      <c r="AD267" s="6"/>
      <c r="AE267" s="6"/>
      <c r="AF267" s="6"/>
      <c r="AG267" s="6"/>
      <c r="AH267" s="6"/>
      <c r="AI267" s="6"/>
      <c r="AJ267" s="6"/>
      <c r="AK267" s="6"/>
      <c r="AL267" s="5"/>
      <c r="AM267" s="5"/>
      <c r="AN267" s="5"/>
      <c r="AO267" s="5"/>
      <c r="AP267" s="5"/>
      <c r="AQ267" s="5"/>
      <c r="AR267" s="5"/>
      <c r="AS267" s="6"/>
      <c r="AT267" s="6"/>
      <c r="AU267" s="6"/>
      <c r="AV267" s="6"/>
      <c r="AW267" s="6"/>
      <c r="AX267" s="6"/>
      <c r="AY267" s="6"/>
      <c r="AZ267" s="6"/>
      <c r="BA267" s="6"/>
      <c r="BB267" s="6"/>
      <c r="BC267" s="7"/>
      <c r="BD267" s="6"/>
      <c r="BE267" s="6"/>
      <c r="BF267" s="6"/>
      <c r="BG267" s="6"/>
      <c r="BH267" s="6"/>
      <c r="BN267" s="100"/>
    </row>
    <row r="268" spans="1:66" ht="21" customHeight="1">
      <c r="A268" s="5"/>
      <c r="B268" s="5" t="s">
        <v>332</v>
      </c>
      <c r="C268" s="5"/>
      <c r="D268" s="5"/>
      <c r="E268" s="5"/>
      <c r="F268" s="5"/>
      <c r="G268" s="9"/>
      <c r="H268" s="9"/>
      <c r="I268" s="9"/>
      <c r="J268" s="9"/>
      <c r="K268" s="9"/>
      <c r="L268" s="9"/>
      <c r="M268" s="9"/>
      <c r="N268" s="10"/>
      <c r="O268" s="9"/>
      <c r="P268" s="9"/>
      <c r="Q268" s="9"/>
      <c r="R268" s="9"/>
      <c r="S268" s="9"/>
      <c r="T268" s="9"/>
      <c r="U268" s="9"/>
      <c r="V268" s="9"/>
      <c r="W268" s="9"/>
      <c r="X268" s="9"/>
      <c r="Y268" s="9"/>
      <c r="Z268" s="9"/>
      <c r="AA268" s="9"/>
      <c r="AB268" s="9">
        <f aca="true" t="shared" si="29" ref="AB268:BG268">SUM(AB269,AB298,AB299,AB300,AB301)</f>
        <v>0</v>
      </c>
      <c r="AC268" s="9">
        <f t="shared" si="29"/>
        <v>0</v>
      </c>
      <c r="AD268" s="9">
        <f t="shared" si="29"/>
        <v>0</v>
      </c>
      <c r="AE268" s="9">
        <f t="shared" si="29"/>
        <v>0</v>
      </c>
      <c r="AF268" s="9">
        <f t="shared" si="29"/>
        <v>0</v>
      </c>
      <c r="AG268" s="9">
        <f t="shared" si="29"/>
        <v>0</v>
      </c>
      <c r="AH268" s="9">
        <f t="shared" si="29"/>
        <v>0</v>
      </c>
      <c r="AI268" s="9">
        <f t="shared" si="29"/>
        <v>0</v>
      </c>
      <c r="AJ268" s="9">
        <f t="shared" si="29"/>
        <v>0</v>
      </c>
      <c r="AK268" s="9">
        <f t="shared" si="29"/>
        <v>82710000</v>
      </c>
      <c r="AL268" s="9">
        <f t="shared" si="29"/>
        <v>102410000</v>
      </c>
      <c r="AM268" s="9">
        <f t="shared" si="29"/>
        <v>112294120</v>
      </c>
      <c r="AN268" s="9">
        <f t="shared" si="29"/>
        <v>124475430</v>
      </c>
      <c r="AO268" s="9">
        <f t="shared" si="29"/>
        <v>140265155</v>
      </c>
      <c r="AP268" s="9">
        <f t="shared" si="29"/>
        <v>158784935</v>
      </c>
      <c r="AQ268" s="9">
        <f t="shared" si="29"/>
        <v>169084403</v>
      </c>
      <c r="AR268" s="9">
        <f t="shared" si="29"/>
        <v>172446980</v>
      </c>
      <c r="AS268" s="9">
        <f t="shared" si="29"/>
        <v>172649480</v>
      </c>
      <c r="AT268" s="9">
        <f t="shared" si="29"/>
        <v>186402984</v>
      </c>
      <c r="AU268" s="9">
        <f t="shared" si="29"/>
        <v>202056825</v>
      </c>
      <c r="AV268" s="9">
        <f t="shared" si="29"/>
        <v>209899435</v>
      </c>
      <c r="AW268" s="9">
        <f t="shared" si="29"/>
        <v>220615456</v>
      </c>
      <c r="AX268" s="9">
        <f t="shared" si="29"/>
        <v>225850839</v>
      </c>
      <c r="AY268" s="9">
        <f t="shared" si="29"/>
        <v>219124747</v>
      </c>
      <c r="AZ268" s="9">
        <f t="shared" si="29"/>
        <v>230307306</v>
      </c>
      <c r="BA268" s="9">
        <f t="shared" si="29"/>
        <v>244189853</v>
      </c>
      <c r="BB268" s="9">
        <f t="shared" si="29"/>
        <v>244729903</v>
      </c>
      <c r="BC268" s="10">
        <f t="shared" si="29"/>
        <v>238020161</v>
      </c>
      <c r="BD268" s="9">
        <f t="shared" si="29"/>
        <v>245343698</v>
      </c>
      <c r="BE268" s="9">
        <f t="shared" si="29"/>
        <v>239816269</v>
      </c>
      <c r="BF268" s="96">
        <f t="shared" si="29"/>
        <v>242525412</v>
      </c>
      <c r="BG268" s="96">
        <f t="shared" si="29"/>
        <v>248051215</v>
      </c>
      <c r="BH268" s="96">
        <f>SUM(BH269,BH298,BH299,BH300,BH301,BH293,BH294)</f>
        <v>234791236</v>
      </c>
      <c r="BI268" s="96">
        <f>SUM(BI269,BI298,BI299,BI300,BI301,BI293,BI294)</f>
        <v>245648622</v>
      </c>
      <c r="BJ268" s="96">
        <f>SUM(BJ269,BJ293,BJ294,BJ295,BJ296,BJ297,BJ298,BJ299,BJ300,BJ301)</f>
        <v>232904659</v>
      </c>
      <c r="BK268" s="96">
        <f>SUM(BK269,BK293,BK294,BK295,BK296,BK297,BK298,BK299,BK300,BK301)</f>
        <v>238379165</v>
      </c>
      <c r="BL268" s="96">
        <f>SUM(BL269,BL293,BL294,BL295,BL296,BL297,BL298,BL299,BL300,BL301)</f>
        <v>169307706</v>
      </c>
      <c r="BM268" s="96">
        <f>SUM(BM269,BM293,BM294,BM295,BM296,BM297,BM298,BM299,BM300,BM301)</f>
        <v>167844490</v>
      </c>
      <c r="BN268" s="100"/>
    </row>
    <row r="269" spans="1:65" ht="21" customHeight="1">
      <c r="A269" s="5"/>
      <c r="B269" s="5"/>
      <c r="C269" s="5" t="s">
        <v>39</v>
      </c>
      <c r="D269" s="5"/>
      <c r="E269" s="5"/>
      <c r="F269" s="5"/>
      <c r="G269" s="21"/>
      <c r="H269" s="21"/>
      <c r="I269" s="21"/>
      <c r="J269" s="21"/>
      <c r="K269" s="21"/>
      <c r="L269" s="21"/>
      <c r="M269" s="21"/>
      <c r="N269" s="98"/>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f aca="true" t="shared" si="30" ref="AK269:BM269">SUM(AK270:AK292)</f>
        <v>80812472</v>
      </c>
      <c r="AL269" s="21">
        <f t="shared" si="30"/>
        <v>100299877</v>
      </c>
      <c r="AM269" s="21">
        <f t="shared" si="30"/>
        <v>110175478</v>
      </c>
      <c r="AN269" s="21">
        <f t="shared" si="30"/>
        <v>122372368</v>
      </c>
      <c r="AO269" s="21">
        <f t="shared" si="30"/>
        <v>137737356</v>
      </c>
      <c r="AP269" s="21">
        <f t="shared" si="30"/>
        <v>156090371</v>
      </c>
      <c r="AQ269" s="21">
        <f t="shared" si="30"/>
        <v>165928757</v>
      </c>
      <c r="AR269" s="21">
        <f t="shared" si="30"/>
        <v>169318598</v>
      </c>
      <c r="AS269" s="21">
        <f t="shared" si="30"/>
        <v>169364860</v>
      </c>
      <c r="AT269" s="21">
        <f t="shared" si="30"/>
        <v>182268431</v>
      </c>
      <c r="AU269" s="21">
        <f t="shared" si="30"/>
        <v>197137896</v>
      </c>
      <c r="AV269" s="21">
        <f t="shared" si="30"/>
        <v>204424183</v>
      </c>
      <c r="AW269" s="21">
        <f t="shared" si="30"/>
        <v>214587366</v>
      </c>
      <c r="AX269" s="21">
        <f t="shared" si="30"/>
        <v>220048004</v>
      </c>
      <c r="AY269" s="21">
        <f t="shared" si="30"/>
        <v>213164278</v>
      </c>
      <c r="AZ269" s="21">
        <f t="shared" si="30"/>
        <v>224110745</v>
      </c>
      <c r="BA269" s="21">
        <f t="shared" si="30"/>
        <v>237771930</v>
      </c>
      <c r="BB269" s="21">
        <f t="shared" si="30"/>
        <v>237210398</v>
      </c>
      <c r="BC269" s="21">
        <f t="shared" si="30"/>
        <v>229879636</v>
      </c>
      <c r="BD269" s="21">
        <f t="shared" si="30"/>
        <v>237829365</v>
      </c>
      <c r="BE269" s="21">
        <f t="shared" si="30"/>
        <v>231983626</v>
      </c>
      <c r="BF269" s="101">
        <f t="shared" si="30"/>
        <v>238973760</v>
      </c>
      <c r="BG269" s="101">
        <f t="shared" si="30"/>
        <v>244313919</v>
      </c>
      <c r="BH269" s="101">
        <f t="shared" si="30"/>
        <v>206658752</v>
      </c>
      <c r="BI269" s="101">
        <f t="shared" si="30"/>
        <v>192977569</v>
      </c>
      <c r="BJ269" s="101">
        <f t="shared" si="30"/>
        <v>138650118</v>
      </c>
      <c r="BK269" s="101">
        <f t="shared" si="30"/>
        <v>74019614</v>
      </c>
      <c r="BL269" s="101">
        <f t="shared" si="30"/>
        <v>37510787</v>
      </c>
      <c r="BM269" s="101">
        <f t="shared" si="30"/>
        <v>38772408</v>
      </c>
    </row>
    <row r="270" spans="1:65" ht="21" customHeight="1">
      <c r="A270" s="5"/>
      <c r="B270" s="5"/>
      <c r="C270" s="5"/>
      <c r="D270" s="5" t="s">
        <v>40</v>
      </c>
      <c r="E270" s="5"/>
      <c r="F270" s="5"/>
      <c r="G270" s="6"/>
      <c r="H270" s="6"/>
      <c r="I270" s="6"/>
      <c r="J270" s="6"/>
      <c r="K270" s="6"/>
      <c r="L270" s="6"/>
      <c r="M270" s="6"/>
      <c r="N270" s="7"/>
      <c r="O270" s="6"/>
      <c r="P270" s="6"/>
      <c r="Q270" s="6"/>
      <c r="R270" s="6"/>
      <c r="S270" s="6"/>
      <c r="T270" s="6"/>
      <c r="U270" s="6"/>
      <c r="V270" s="6"/>
      <c r="W270" s="6"/>
      <c r="X270" s="6"/>
      <c r="Y270" s="6"/>
      <c r="Z270" s="6"/>
      <c r="AA270" s="6"/>
      <c r="AB270" s="6"/>
      <c r="AC270" s="6"/>
      <c r="AD270" s="6"/>
      <c r="AE270" s="6"/>
      <c r="AF270" s="6"/>
      <c r="AG270" s="6"/>
      <c r="AH270" s="6"/>
      <c r="AI270" s="6"/>
      <c r="AJ270" s="6"/>
      <c r="AK270" s="6">
        <v>2198855</v>
      </c>
      <c r="AL270" s="6">
        <v>4204462</v>
      </c>
      <c r="AM270" s="6">
        <v>5241951</v>
      </c>
      <c r="AN270" s="6">
        <v>5743221</v>
      </c>
      <c r="AO270" s="6">
        <v>6280373</v>
      </c>
      <c r="AP270" s="6">
        <v>5738634</v>
      </c>
      <c r="AQ270" s="6">
        <v>6034661</v>
      </c>
      <c r="AR270" s="6">
        <v>4927046</v>
      </c>
      <c r="AS270" s="6">
        <v>4871938</v>
      </c>
      <c r="AT270" s="6">
        <v>4617622</v>
      </c>
      <c r="AU270" s="6">
        <v>4646219</v>
      </c>
      <c r="AV270" s="6">
        <v>6794529</v>
      </c>
      <c r="AW270" s="6">
        <v>6922441</v>
      </c>
      <c r="AX270" s="6">
        <v>7706419</v>
      </c>
      <c r="AY270" s="6">
        <v>8015178</v>
      </c>
      <c r="AZ270" s="6">
        <v>8494178</v>
      </c>
      <c r="BA270" s="6">
        <v>9592797</v>
      </c>
      <c r="BB270" s="6">
        <v>9065453</v>
      </c>
      <c r="BC270" s="7">
        <v>7136806</v>
      </c>
      <c r="BD270" s="6">
        <v>6081359</v>
      </c>
      <c r="BE270" s="6">
        <v>8338992</v>
      </c>
      <c r="BF270" s="6">
        <v>5984674</v>
      </c>
      <c r="BG270" s="6">
        <v>4019519</v>
      </c>
      <c r="BH270" s="6">
        <v>4467309</v>
      </c>
      <c r="BI270" s="6">
        <v>3697522</v>
      </c>
      <c r="BJ270" s="6">
        <v>2573001</v>
      </c>
      <c r="BK270" s="6">
        <v>1257346</v>
      </c>
      <c r="BL270" s="6"/>
      <c r="BM270" s="6"/>
    </row>
    <row r="271" spans="1:65" ht="21" customHeight="1">
      <c r="A271" s="5"/>
      <c r="B271" s="5"/>
      <c r="C271" s="5"/>
      <c r="D271" s="5" t="s">
        <v>41</v>
      </c>
      <c r="E271" s="5"/>
      <c r="F271" s="5"/>
      <c r="G271" s="6"/>
      <c r="H271" s="6"/>
      <c r="I271" s="6"/>
      <c r="J271" s="6"/>
      <c r="K271" s="6"/>
      <c r="L271" s="6"/>
      <c r="M271" s="6"/>
      <c r="N271" s="7"/>
      <c r="O271" s="6"/>
      <c r="P271" s="6"/>
      <c r="Q271" s="6"/>
      <c r="R271" s="6"/>
      <c r="S271" s="6"/>
      <c r="T271" s="6"/>
      <c r="U271" s="6"/>
      <c r="V271" s="6"/>
      <c r="W271" s="6"/>
      <c r="X271" s="6"/>
      <c r="Y271" s="6"/>
      <c r="Z271" s="6"/>
      <c r="AA271" s="6"/>
      <c r="AB271" s="6"/>
      <c r="AC271" s="6"/>
      <c r="AD271" s="6"/>
      <c r="AE271" s="6"/>
      <c r="AF271" s="6"/>
      <c r="AG271" s="6"/>
      <c r="AH271" s="6"/>
      <c r="AI271" s="6"/>
      <c r="AJ271" s="6"/>
      <c r="AK271" s="6">
        <v>10288477</v>
      </c>
      <c r="AL271" s="6">
        <v>13128057</v>
      </c>
      <c r="AM271" s="6">
        <v>9169860</v>
      </c>
      <c r="AN271" s="6">
        <v>15195937</v>
      </c>
      <c r="AO271" s="6">
        <v>15679782</v>
      </c>
      <c r="AP271" s="6">
        <v>17127832</v>
      </c>
      <c r="AQ271" s="6">
        <v>15978390</v>
      </c>
      <c r="AR271" s="6">
        <v>15231943</v>
      </c>
      <c r="AS271" s="6">
        <v>12886448</v>
      </c>
      <c r="AT271" s="6">
        <v>14166254</v>
      </c>
      <c r="AU271" s="6">
        <v>14675295</v>
      </c>
      <c r="AV271" s="6">
        <v>14481373</v>
      </c>
      <c r="AW271" s="6">
        <v>15268081</v>
      </c>
      <c r="AX271" s="6">
        <v>14656810</v>
      </c>
      <c r="AY271" s="6">
        <v>11549686</v>
      </c>
      <c r="AZ271" s="6">
        <v>6692406</v>
      </c>
      <c r="BA271" s="6">
        <v>4533148</v>
      </c>
      <c r="BB271" s="6">
        <v>3955643</v>
      </c>
      <c r="BC271" s="7">
        <v>4412325</v>
      </c>
      <c r="BD271" s="6">
        <v>2683508</v>
      </c>
      <c r="BE271" s="6">
        <v>1054553</v>
      </c>
      <c r="BF271" s="6">
        <v>337094</v>
      </c>
      <c r="BG271" s="6">
        <v>438000</v>
      </c>
      <c r="BH271" s="6">
        <v>1612820</v>
      </c>
      <c r="BI271" s="6">
        <v>4753743</v>
      </c>
      <c r="BJ271" s="6">
        <v>8191191</v>
      </c>
      <c r="BK271" s="6">
        <v>7000277</v>
      </c>
      <c r="BL271" s="6"/>
      <c r="BM271" s="6"/>
    </row>
    <row r="272" spans="1:65" ht="21" customHeight="1">
      <c r="A272" s="5"/>
      <c r="B272" s="5"/>
      <c r="C272" s="5"/>
      <c r="D272" s="5" t="s">
        <v>42</v>
      </c>
      <c r="E272" s="5"/>
      <c r="F272" s="5"/>
      <c r="G272" s="6"/>
      <c r="H272" s="6"/>
      <c r="I272" s="6"/>
      <c r="J272" s="6"/>
      <c r="K272" s="6"/>
      <c r="L272" s="6"/>
      <c r="M272" s="6"/>
      <c r="N272" s="7"/>
      <c r="O272" s="6"/>
      <c r="P272" s="6"/>
      <c r="Q272" s="6"/>
      <c r="R272" s="6"/>
      <c r="S272" s="6"/>
      <c r="T272" s="6"/>
      <c r="U272" s="6"/>
      <c r="V272" s="6"/>
      <c r="W272" s="6"/>
      <c r="X272" s="6"/>
      <c r="Y272" s="6"/>
      <c r="Z272" s="6"/>
      <c r="AA272" s="6"/>
      <c r="AB272" s="6"/>
      <c r="AC272" s="6"/>
      <c r="AD272" s="6"/>
      <c r="AE272" s="6"/>
      <c r="AF272" s="6"/>
      <c r="AG272" s="6"/>
      <c r="AH272" s="6"/>
      <c r="AI272" s="6"/>
      <c r="AJ272" s="6"/>
      <c r="AK272" s="6">
        <v>10737166</v>
      </c>
      <c r="AL272" s="6">
        <v>12313626</v>
      </c>
      <c r="AM272" s="6">
        <v>13506277</v>
      </c>
      <c r="AN272" s="6">
        <v>12439695</v>
      </c>
      <c r="AO272" s="6">
        <v>13379690</v>
      </c>
      <c r="AP272" s="6">
        <v>14416090</v>
      </c>
      <c r="AQ272" s="6">
        <v>14828895</v>
      </c>
      <c r="AR272" s="6">
        <v>14237532</v>
      </c>
      <c r="AS272" s="6">
        <v>14498128</v>
      </c>
      <c r="AT272" s="6">
        <v>14015393</v>
      </c>
      <c r="AU272" s="6">
        <v>13342557</v>
      </c>
      <c r="AV272" s="6">
        <v>12498497</v>
      </c>
      <c r="AW272" s="6">
        <v>12220770</v>
      </c>
      <c r="AX272" s="6">
        <v>11978401</v>
      </c>
      <c r="AY272" s="6">
        <v>12690104</v>
      </c>
      <c r="AZ272" s="6">
        <v>13908138</v>
      </c>
      <c r="BA272" s="6">
        <v>14569632</v>
      </c>
      <c r="BB272" s="6">
        <v>11398689</v>
      </c>
      <c r="BC272" s="7">
        <v>8131962</v>
      </c>
      <c r="BD272" s="6">
        <v>8463368</v>
      </c>
      <c r="BE272" s="6">
        <v>7604352</v>
      </c>
      <c r="BF272" s="6">
        <v>6950503</v>
      </c>
      <c r="BG272" s="6">
        <v>5973000</v>
      </c>
      <c r="BH272" s="6">
        <v>3401512</v>
      </c>
      <c r="BI272" s="6">
        <v>4032400</v>
      </c>
      <c r="BJ272" s="6">
        <v>3427927</v>
      </c>
      <c r="BK272" s="6">
        <v>2177655</v>
      </c>
      <c r="BL272" s="6"/>
      <c r="BM272" s="6"/>
    </row>
    <row r="273" spans="1:65" ht="21" customHeight="1">
      <c r="A273" s="5"/>
      <c r="B273" s="5"/>
      <c r="C273" s="5"/>
      <c r="D273" s="5" t="s">
        <v>43</v>
      </c>
      <c r="E273" s="5"/>
      <c r="F273" s="5"/>
      <c r="G273" s="6"/>
      <c r="H273" s="6"/>
      <c r="I273" s="6"/>
      <c r="J273" s="6"/>
      <c r="K273" s="6"/>
      <c r="L273" s="6"/>
      <c r="M273" s="6"/>
      <c r="N273" s="7"/>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7"/>
      <c r="BD273" s="6"/>
      <c r="BE273" s="6"/>
      <c r="BF273" s="6"/>
      <c r="BG273" s="6"/>
      <c r="BH273" s="6">
        <v>68512379</v>
      </c>
      <c r="BI273" s="6">
        <v>47632795</v>
      </c>
      <c r="BJ273" s="6">
        <v>32428253</v>
      </c>
      <c r="BK273" s="6">
        <v>38010948</v>
      </c>
      <c r="BL273" s="6"/>
      <c r="BM273" s="6"/>
    </row>
    <row r="274" spans="1:65" ht="21" customHeight="1">
      <c r="A274" s="5"/>
      <c r="B274" s="5"/>
      <c r="C274" s="5"/>
      <c r="D274" s="5" t="s">
        <v>44</v>
      </c>
      <c r="E274" s="5"/>
      <c r="F274" s="5"/>
      <c r="G274" s="6"/>
      <c r="H274" s="6"/>
      <c r="I274" s="6"/>
      <c r="J274" s="6"/>
      <c r="K274" s="6"/>
      <c r="L274" s="6"/>
      <c r="M274" s="6"/>
      <c r="N274" s="7"/>
      <c r="O274" s="6"/>
      <c r="P274" s="6"/>
      <c r="Q274" s="6"/>
      <c r="R274" s="6"/>
      <c r="S274" s="6"/>
      <c r="T274" s="6"/>
      <c r="U274" s="6"/>
      <c r="V274" s="6"/>
      <c r="W274" s="6"/>
      <c r="X274" s="6"/>
      <c r="Y274" s="6"/>
      <c r="Z274" s="6"/>
      <c r="AA274" s="6"/>
      <c r="AB274" s="6"/>
      <c r="AC274" s="6"/>
      <c r="AD274" s="6"/>
      <c r="AE274" s="6"/>
      <c r="AF274" s="6"/>
      <c r="AG274" s="6"/>
      <c r="AH274" s="6"/>
      <c r="AI274" s="6"/>
      <c r="AJ274" s="6"/>
      <c r="AK274" s="6">
        <v>11557847</v>
      </c>
      <c r="AL274" s="6">
        <v>11660869</v>
      </c>
      <c r="AM274" s="6">
        <v>12858973</v>
      </c>
      <c r="AN274" s="6">
        <v>13017962</v>
      </c>
      <c r="AO274" s="6">
        <v>14709646</v>
      </c>
      <c r="AP274" s="6">
        <v>17445725</v>
      </c>
      <c r="AQ274" s="6">
        <v>19138426</v>
      </c>
      <c r="AR274" s="6">
        <v>21395287</v>
      </c>
      <c r="AS274" s="6">
        <v>25170002</v>
      </c>
      <c r="AT274" s="6">
        <v>28656770</v>
      </c>
      <c r="AU274" s="6">
        <v>33679737</v>
      </c>
      <c r="AV274" s="6">
        <v>36753537</v>
      </c>
      <c r="AW274" s="6">
        <v>42956409</v>
      </c>
      <c r="AX274" s="6">
        <v>42606809</v>
      </c>
      <c r="AY274" s="6">
        <v>41901904</v>
      </c>
      <c r="AZ274" s="6">
        <v>49027636</v>
      </c>
      <c r="BA274" s="6">
        <v>55685188</v>
      </c>
      <c r="BB274" s="6">
        <v>61810345</v>
      </c>
      <c r="BC274" s="7">
        <v>69703079</v>
      </c>
      <c r="BD274" s="6">
        <v>76216588</v>
      </c>
      <c r="BE274" s="6">
        <v>73679606</v>
      </c>
      <c r="BF274" s="6">
        <v>83376976</v>
      </c>
      <c r="BG274" s="6">
        <v>92019846</v>
      </c>
      <c r="BH274" s="6"/>
      <c r="BI274" s="6"/>
      <c r="BJ274" s="6"/>
      <c r="BL274" s="6"/>
      <c r="BM274" s="6"/>
    </row>
    <row r="275" spans="1:65" ht="21" customHeight="1">
      <c r="A275" s="5"/>
      <c r="B275" s="5"/>
      <c r="C275" s="5"/>
      <c r="D275" s="5" t="s">
        <v>45</v>
      </c>
      <c r="E275" s="5"/>
      <c r="F275" s="5"/>
      <c r="G275" s="6"/>
      <c r="H275" s="6"/>
      <c r="I275" s="6"/>
      <c r="J275" s="6"/>
      <c r="K275" s="6"/>
      <c r="L275" s="6"/>
      <c r="M275" s="6"/>
      <c r="N275" s="7"/>
      <c r="O275" s="6"/>
      <c r="P275" s="6"/>
      <c r="Q275" s="6"/>
      <c r="R275" s="6"/>
      <c r="S275" s="6"/>
      <c r="T275" s="6"/>
      <c r="U275" s="6"/>
      <c r="V275" s="6"/>
      <c r="W275" s="6"/>
      <c r="X275" s="6"/>
      <c r="Y275" s="6"/>
      <c r="Z275" s="6"/>
      <c r="AA275" s="6"/>
      <c r="AB275" s="6"/>
      <c r="AC275" s="6"/>
      <c r="AD275" s="6"/>
      <c r="AE275" s="6"/>
      <c r="AF275" s="6"/>
      <c r="AG275" s="6"/>
      <c r="AH275" s="6"/>
      <c r="AI275" s="6"/>
      <c r="AJ275" s="6"/>
      <c r="AK275" s="6">
        <v>5383167</v>
      </c>
      <c r="AL275" s="6">
        <v>10059497</v>
      </c>
      <c r="AM275" s="6">
        <v>14311937</v>
      </c>
      <c r="AN275" s="6">
        <v>17189015</v>
      </c>
      <c r="AO275" s="6">
        <v>22423986</v>
      </c>
      <c r="AP275" s="6">
        <v>27972359</v>
      </c>
      <c r="AQ275" s="6">
        <v>32180829</v>
      </c>
      <c r="AR275" s="6">
        <v>34812545</v>
      </c>
      <c r="AS275" s="6">
        <v>34684158</v>
      </c>
      <c r="AT275" s="6">
        <v>35774816</v>
      </c>
      <c r="AU275" s="6">
        <v>37163371</v>
      </c>
      <c r="AV275" s="6">
        <v>36047372</v>
      </c>
      <c r="AW275" s="6">
        <v>35114575</v>
      </c>
      <c r="AX275" s="6">
        <v>38785347</v>
      </c>
      <c r="AY275" s="6">
        <v>38071906</v>
      </c>
      <c r="AZ275" s="6">
        <v>40195621</v>
      </c>
      <c r="BA275" s="6">
        <v>40011580</v>
      </c>
      <c r="BB275" s="6">
        <v>38976265</v>
      </c>
      <c r="BC275" s="7">
        <v>36847082</v>
      </c>
      <c r="BD275" s="6">
        <v>36397674</v>
      </c>
      <c r="BE275" s="6">
        <v>37003465</v>
      </c>
      <c r="BF275" s="6">
        <v>34443831</v>
      </c>
      <c r="BG275" s="6">
        <v>36457861</v>
      </c>
      <c r="BH275" s="6">
        <v>26435937</v>
      </c>
      <c r="BI275" s="6">
        <v>30893458</v>
      </c>
      <c r="BJ275" s="6">
        <v>36938314</v>
      </c>
      <c r="BK275" s="6">
        <v>25573388</v>
      </c>
      <c r="BL275" s="6"/>
      <c r="BM275" s="6"/>
    </row>
    <row r="276" spans="1:65" ht="21" customHeight="1">
      <c r="A276" s="5"/>
      <c r="B276" s="5"/>
      <c r="C276" s="5"/>
      <c r="D276" s="5" t="s">
        <v>46</v>
      </c>
      <c r="E276" s="5"/>
      <c r="F276" s="5"/>
      <c r="G276" s="6"/>
      <c r="H276" s="6"/>
      <c r="I276" s="6"/>
      <c r="J276" s="6"/>
      <c r="K276" s="6"/>
      <c r="L276" s="6"/>
      <c r="M276" s="6"/>
      <c r="N276" s="7"/>
      <c r="O276" s="6"/>
      <c r="P276" s="6"/>
      <c r="Q276" s="6"/>
      <c r="R276" s="6"/>
      <c r="S276" s="6"/>
      <c r="T276" s="6"/>
      <c r="U276" s="6"/>
      <c r="V276" s="6"/>
      <c r="W276" s="6"/>
      <c r="X276" s="6"/>
      <c r="Y276" s="6"/>
      <c r="Z276" s="6"/>
      <c r="AA276" s="6"/>
      <c r="AB276" s="6"/>
      <c r="AC276" s="6"/>
      <c r="AD276" s="6"/>
      <c r="AE276" s="6"/>
      <c r="AF276" s="6"/>
      <c r="AG276" s="6"/>
      <c r="AH276" s="6"/>
      <c r="AI276" s="6"/>
      <c r="AJ276" s="6"/>
      <c r="AK276" s="6">
        <v>39688000</v>
      </c>
      <c r="AL276" s="6">
        <v>47870000</v>
      </c>
      <c r="AM276" s="6">
        <v>53806000</v>
      </c>
      <c r="AN276" s="6">
        <v>57485000</v>
      </c>
      <c r="AO276" s="6">
        <v>63963000</v>
      </c>
      <c r="AP276" s="6">
        <v>72013000</v>
      </c>
      <c r="AQ276" s="6">
        <v>76319000</v>
      </c>
      <c r="AR276" s="6">
        <v>77264000</v>
      </c>
      <c r="AS276" s="6">
        <v>75806000</v>
      </c>
      <c r="AT276" s="6">
        <v>83461000</v>
      </c>
      <c r="AU276" s="6">
        <v>91930000</v>
      </c>
      <c r="AV276" s="6">
        <v>96074000</v>
      </c>
      <c r="AW276" s="6">
        <v>100200000</v>
      </c>
      <c r="AX276" s="6">
        <v>101550000</v>
      </c>
      <c r="AY276" s="6">
        <v>98309000</v>
      </c>
      <c r="AZ276" s="6">
        <v>103107000</v>
      </c>
      <c r="BA276" s="6">
        <v>110625000</v>
      </c>
      <c r="BB276" s="6">
        <v>109077000</v>
      </c>
      <c r="BC276" s="7">
        <v>100222000</v>
      </c>
      <c r="BD276" s="6">
        <v>104722000</v>
      </c>
      <c r="BE276" s="6">
        <v>101213000</v>
      </c>
      <c r="BF276" s="6">
        <v>105333000</v>
      </c>
      <c r="BG276" s="6"/>
      <c r="BH276" s="6"/>
      <c r="BI276" s="6"/>
      <c r="BJ276" s="6"/>
      <c r="BK276" s="6"/>
      <c r="BL276" s="6"/>
      <c r="BM276" s="6"/>
    </row>
    <row r="277" spans="1:65" ht="21" customHeight="1">
      <c r="A277" s="5"/>
      <c r="B277" s="5"/>
      <c r="C277" s="5"/>
      <c r="D277" s="5" t="s">
        <v>47</v>
      </c>
      <c r="E277" s="5"/>
      <c r="F277" s="5"/>
      <c r="G277" s="6"/>
      <c r="H277" s="6"/>
      <c r="I277" s="6"/>
      <c r="J277" s="6"/>
      <c r="K277" s="6"/>
      <c r="L277" s="6"/>
      <c r="M277" s="6"/>
      <c r="N277" s="7"/>
      <c r="O277" s="6"/>
      <c r="P277" s="6"/>
      <c r="Q277" s="6"/>
      <c r="R277" s="6"/>
      <c r="S277" s="6"/>
      <c r="T277" s="6"/>
      <c r="U277" s="6"/>
      <c r="V277" s="6"/>
      <c r="W277" s="6"/>
      <c r="X277" s="6"/>
      <c r="Y277" s="6"/>
      <c r="Z277" s="6"/>
      <c r="AA277" s="6"/>
      <c r="AB277" s="6"/>
      <c r="AC277" s="6"/>
      <c r="AD277" s="6"/>
      <c r="AE277" s="6"/>
      <c r="AF277" s="6"/>
      <c r="AG277" s="6"/>
      <c r="AH277" s="6"/>
      <c r="AI277" s="6"/>
      <c r="AJ277" s="6"/>
      <c r="AK277" s="6">
        <v>958960</v>
      </c>
      <c r="AL277" s="6">
        <v>1063366</v>
      </c>
      <c r="AM277" s="6">
        <v>1280480</v>
      </c>
      <c r="AN277" s="6">
        <v>1301538</v>
      </c>
      <c r="AO277" s="6">
        <v>1300879</v>
      </c>
      <c r="AP277" s="6">
        <v>1376731</v>
      </c>
      <c r="AQ277" s="6">
        <v>1448556</v>
      </c>
      <c r="AR277" s="6">
        <v>1450245</v>
      </c>
      <c r="AS277" s="6">
        <v>1448186</v>
      </c>
      <c r="AT277" s="6">
        <v>1576576</v>
      </c>
      <c r="AU277" s="6">
        <v>1700717</v>
      </c>
      <c r="AV277" s="6">
        <v>1774875</v>
      </c>
      <c r="AW277" s="6">
        <v>1905090</v>
      </c>
      <c r="AX277" s="6">
        <v>2764218</v>
      </c>
      <c r="AY277" s="6">
        <v>2626500</v>
      </c>
      <c r="AZ277" s="6">
        <v>2685766</v>
      </c>
      <c r="BA277" s="6">
        <v>2754585</v>
      </c>
      <c r="BB277" s="6">
        <v>2927003</v>
      </c>
      <c r="BC277" s="7">
        <v>3426382</v>
      </c>
      <c r="BD277" s="6">
        <v>3264868</v>
      </c>
      <c r="BE277" s="6">
        <v>3089658</v>
      </c>
      <c r="BF277" s="6">
        <v>2547682</v>
      </c>
      <c r="BG277" s="6"/>
      <c r="BH277" s="6"/>
      <c r="BI277" s="6"/>
      <c r="BJ277" s="6"/>
      <c r="BK277" s="6"/>
      <c r="BL277" s="6"/>
      <c r="BM277" s="6"/>
    </row>
    <row r="278" spans="1:65" ht="21" customHeight="1">
      <c r="A278" s="5"/>
      <c r="B278" s="5"/>
      <c r="C278" s="5"/>
      <c r="D278" s="5" t="s">
        <v>48</v>
      </c>
      <c r="E278" s="5"/>
      <c r="F278" s="5"/>
      <c r="G278" s="6"/>
      <c r="H278" s="6"/>
      <c r="I278" s="6"/>
      <c r="J278" s="6"/>
      <c r="K278" s="6"/>
      <c r="L278" s="6"/>
      <c r="M278" s="6"/>
      <c r="N278" s="7"/>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7"/>
      <c r="BD278" s="6"/>
      <c r="BE278" s="6"/>
      <c r="BF278" s="6"/>
      <c r="BG278" s="6">
        <v>2635704</v>
      </c>
      <c r="BH278" s="6">
        <v>1345744</v>
      </c>
      <c r="BI278" s="6">
        <v>0</v>
      </c>
      <c r="BJ278" s="6"/>
      <c r="BK278" s="6"/>
      <c r="BL278" s="6"/>
      <c r="BM278" s="6"/>
    </row>
    <row r="279" spans="1:65" ht="21" customHeight="1">
      <c r="A279" s="5"/>
      <c r="B279" s="5"/>
      <c r="C279" s="5"/>
      <c r="D279" s="5" t="s">
        <v>49</v>
      </c>
      <c r="E279" s="5"/>
      <c r="F279" s="5"/>
      <c r="G279" s="6"/>
      <c r="H279" s="6"/>
      <c r="I279" s="6"/>
      <c r="J279" s="6"/>
      <c r="K279" s="6"/>
      <c r="L279" s="6"/>
      <c r="M279" s="6"/>
      <c r="N279" s="7"/>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7"/>
      <c r="BD279" s="6"/>
      <c r="BE279" s="6"/>
      <c r="BF279" s="6"/>
      <c r="BG279" s="6">
        <v>102769989</v>
      </c>
      <c r="BH279" s="6">
        <v>100883051</v>
      </c>
      <c r="BI279" s="6">
        <v>101967651</v>
      </c>
      <c r="BJ279" s="6">
        <v>55091432</v>
      </c>
      <c r="BK279" s="6">
        <v>0</v>
      </c>
      <c r="BL279" s="6"/>
      <c r="BM279" s="6"/>
    </row>
    <row r="280" spans="1:65" ht="21" customHeight="1">
      <c r="A280" s="5"/>
      <c r="B280" s="5"/>
      <c r="C280" s="5"/>
      <c r="D280" s="5" t="s">
        <v>50</v>
      </c>
      <c r="E280" s="5"/>
      <c r="F280" s="5"/>
      <c r="G280" s="6"/>
      <c r="H280" s="6"/>
      <c r="I280" s="6"/>
      <c r="J280" s="6"/>
      <c r="K280" s="6"/>
      <c r="L280" s="6"/>
      <c r="M280" s="6"/>
      <c r="N280" s="7"/>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7"/>
      <c r="BD280" s="6"/>
      <c r="BE280" s="6"/>
      <c r="BF280" s="6"/>
      <c r="BG280" s="6"/>
      <c r="BH280" s="6"/>
      <c r="BI280" s="6"/>
      <c r="BJ280" s="6"/>
      <c r="BK280" s="6"/>
      <c r="BL280" s="6"/>
      <c r="BM280" s="6"/>
    </row>
    <row r="281" spans="1:65" ht="21" customHeight="1">
      <c r="A281" s="5"/>
      <c r="B281" s="5"/>
      <c r="C281" s="5"/>
      <c r="D281" s="5" t="s">
        <v>51</v>
      </c>
      <c r="E281" s="5"/>
      <c r="F281" s="5"/>
      <c r="G281" s="6"/>
      <c r="H281" s="6"/>
      <c r="I281" s="6"/>
      <c r="J281" s="6"/>
      <c r="K281" s="6"/>
      <c r="L281" s="6"/>
      <c r="M281" s="6"/>
      <c r="N281" s="7"/>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7"/>
      <c r="BD281" s="6"/>
      <c r="BE281" s="6"/>
      <c r="BF281" s="6"/>
      <c r="BG281" s="6"/>
      <c r="BH281" s="6"/>
      <c r="BI281" s="6"/>
      <c r="BJ281" s="6"/>
      <c r="BK281" s="6"/>
      <c r="BL281" s="6">
        <v>481831</v>
      </c>
      <c r="BM281" s="6">
        <v>595966</v>
      </c>
    </row>
    <row r="282" spans="1:65" ht="21" customHeight="1">
      <c r="A282" s="5"/>
      <c r="B282" s="5"/>
      <c r="C282" s="5"/>
      <c r="D282" s="5" t="s">
        <v>52</v>
      </c>
      <c r="E282" s="5"/>
      <c r="F282" s="5"/>
      <c r="G282" s="6"/>
      <c r="H282" s="6"/>
      <c r="I282" s="6"/>
      <c r="J282" s="6"/>
      <c r="K282" s="6"/>
      <c r="L282" s="6"/>
      <c r="M282" s="6"/>
      <c r="N282" s="7"/>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7"/>
      <c r="BD282" s="6"/>
      <c r="BE282" s="6"/>
      <c r="BF282" s="6"/>
      <c r="BG282" s="6"/>
      <c r="BH282" s="6"/>
      <c r="BI282" s="6"/>
      <c r="BJ282" s="6"/>
      <c r="BK282" s="6"/>
      <c r="BL282" s="6">
        <v>381476</v>
      </c>
      <c r="BM282" s="6">
        <v>785302</v>
      </c>
    </row>
    <row r="283" spans="1:65" ht="21" customHeight="1">
      <c r="A283" s="5"/>
      <c r="B283" s="5"/>
      <c r="C283" s="5"/>
      <c r="D283" s="5" t="s">
        <v>53</v>
      </c>
      <c r="E283" s="5"/>
      <c r="F283" s="5"/>
      <c r="G283" s="6"/>
      <c r="H283" s="6"/>
      <c r="I283" s="6"/>
      <c r="J283" s="6"/>
      <c r="K283" s="6"/>
      <c r="L283" s="6"/>
      <c r="M283" s="6"/>
      <c r="N283" s="7"/>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7"/>
      <c r="BD283" s="6"/>
      <c r="BE283" s="6"/>
      <c r="BF283" s="6"/>
      <c r="BG283" s="6"/>
      <c r="BH283" s="6"/>
      <c r="BI283" s="6"/>
      <c r="BJ283" s="6"/>
      <c r="BK283" s="6"/>
      <c r="BL283" s="6">
        <v>1557107</v>
      </c>
      <c r="BM283" s="6">
        <v>1481763</v>
      </c>
    </row>
    <row r="284" spans="1:65" ht="21" customHeight="1">
      <c r="A284" s="5"/>
      <c r="B284" s="5"/>
      <c r="C284" s="5"/>
      <c r="D284" s="5" t="s">
        <v>54</v>
      </c>
      <c r="E284" s="5"/>
      <c r="F284" s="5"/>
      <c r="G284" s="6"/>
      <c r="H284" s="6"/>
      <c r="I284" s="6"/>
      <c r="J284" s="6"/>
      <c r="K284" s="6"/>
      <c r="L284" s="6"/>
      <c r="M284" s="6"/>
      <c r="N284" s="7"/>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7"/>
      <c r="BD284" s="6"/>
      <c r="BE284" s="6"/>
      <c r="BF284" s="6"/>
      <c r="BG284" s="6"/>
      <c r="BH284" s="6"/>
      <c r="BI284" s="6"/>
      <c r="BJ284" s="6"/>
      <c r="BK284" s="6"/>
      <c r="BL284" s="6">
        <v>9611462</v>
      </c>
      <c r="BM284" s="6">
        <v>11195469</v>
      </c>
    </row>
    <row r="285" spans="1:65" ht="21" customHeight="1">
      <c r="A285" s="5"/>
      <c r="B285" s="5"/>
      <c r="C285" s="5"/>
      <c r="D285" s="5" t="s">
        <v>55</v>
      </c>
      <c r="E285" s="5"/>
      <c r="F285" s="5"/>
      <c r="G285" s="6"/>
      <c r="H285" s="6"/>
      <c r="I285" s="6"/>
      <c r="J285" s="6"/>
      <c r="K285" s="6"/>
      <c r="L285" s="6"/>
      <c r="M285" s="6"/>
      <c r="N285" s="7"/>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7"/>
      <c r="BD285" s="6"/>
      <c r="BE285" s="6"/>
      <c r="BF285" s="6"/>
      <c r="BG285" s="6"/>
      <c r="BH285" s="6"/>
      <c r="BI285" s="6"/>
      <c r="BJ285" s="6"/>
      <c r="BK285" s="6"/>
      <c r="BL285" s="6">
        <v>4698841</v>
      </c>
      <c r="BM285" s="6">
        <v>4930904</v>
      </c>
    </row>
    <row r="286" spans="1:65" ht="21" customHeight="1">
      <c r="A286" s="5"/>
      <c r="B286" s="5"/>
      <c r="C286" s="5"/>
      <c r="D286" s="5" t="s">
        <v>56</v>
      </c>
      <c r="E286" s="5"/>
      <c r="F286" s="5"/>
      <c r="G286" s="6"/>
      <c r="H286" s="6"/>
      <c r="I286" s="6"/>
      <c r="J286" s="6"/>
      <c r="K286" s="6"/>
      <c r="L286" s="6"/>
      <c r="M286" s="6"/>
      <c r="N286" s="7"/>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7"/>
      <c r="BD286" s="6"/>
      <c r="BE286" s="6"/>
      <c r="BF286" s="6"/>
      <c r="BG286" s="6"/>
      <c r="BH286" s="6"/>
      <c r="BI286" s="6"/>
      <c r="BJ286" s="6"/>
      <c r="BK286" s="6"/>
      <c r="BL286" s="6">
        <v>523000</v>
      </c>
      <c r="BM286" s="6"/>
    </row>
    <row r="287" spans="1:65" ht="21" customHeight="1">
      <c r="A287" s="5"/>
      <c r="B287" s="5"/>
      <c r="C287" s="5"/>
      <c r="D287" s="5" t="s">
        <v>57</v>
      </c>
      <c r="E287" s="5"/>
      <c r="F287" s="5"/>
      <c r="G287" s="6"/>
      <c r="H287" s="6"/>
      <c r="I287" s="6"/>
      <c r="J287" s="6"/>
      <c r="K287" s="6"/>
      <c r="L287" s="6"/>
      <c r="M287" s="6"/>
      <c r="N287" s="7"/>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7"/>
      <c r="BD287" s="6"/>
      <c r="BE287" s="6"/>
      <c r="BF287" s="6"/>
      <c r="BG287" s="6"/>
      <c r="BH287" s="6"/>
      <c r="BI287" s="6"/>
      <c r="BJ287" s="6"/>
      <c r="BK287" s="6"/>
      <c r="BL287" s="6">
        <v>13295000</v>
      </c>
      <c r="BM287" s="6">
        <v>12095000</v>
      </c>
    </row>
    <row r="288" spans="1:65" ht="21" customHeight="1">
      <c r="A288" s="5"/>
      <c r="B288" s="5"/>
      <c r="C288" s="5"/>
      <c r="D288" s="5" t="s">
        <v>58</v>
      </c>
      <c r="E288" s="5"/>
      <c r="F288" s="5"/>
      <c r="G288" s="6"/>
      <c r="H288" s="6"/>
      <c r="I288" s="6"/>
      <c r="J288" s="6"/>
      <c r="K288" s="6"/>
      <c r="L288" s="6"/>
      <c r="M288" s="6"/>
      <c r="N288" s="7"/>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7"/>
      <c r="BD288" s="6"/>
      <c r="BE288" s="6"/>
      <c r="BF288" s="6"/>
      <c r="BG288" s="6"/>
      <c r="BH288" s="6"/>
      <c r="BI288" s="6"/>
      <c r="BJ288" s="6"/>
      <c r="BK288" s="6"/>
      <c r="BL288" s="6">
        <v>2091000</v>
      </c>
      <c r="BM288" s="6">
        <v>2300000</v>
      </c>
    </row>
    <row r="289" spans="1:65" ht="21" customHeight="1">
      <c r="A289" s="5"/>
      <c r="B289" s="5"/>
      <c r="C289" s="5"/>
      <c r="D289" s="5" t="s">
        <v>59</v>
      </c>
      <c r="E289" s="5"/>
      <c r="F289" s="5"/>
      <c r="G289" s="6"/>
      <c r="H289" s="6"/>
      <c r="I289" s="6"/>
      <c r="J289" s="6"/>
      <c r="K289" s="6"/>
      <c r="L289" s="6"/>
      <c r="M289" s="6"/>
      <c r="N289" s="7"/>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7"/>
      <c r="BD289" s="6"/>
      <c r="BE289" s="6"/>
      <c r="BF289" s="6"/>
      <c r="BG289" s="6"/>
      <c r="BH289" s="6"/>
      <c r="BI289" s="6"/>
      <c r="BJ289" s="6"/>
      <c r="BK289" s="6"/>
      <c r="BL289" s="6">
        <v>3400000</v>
      </c>
      <c r="BM289" s="6">
        <v>3000000</v>
      </c>
    </row>
    <row r="290" spans="1:65" ht="21" customHeight="1">
      <c r="A290" s="5"/>
      <c r="B290" s="5"/>
      <c r="C290" s="5"/>
      <c r="D290" s="5" t="s">
        <v>60</v>
      </c>
      <c r="E290" s="5"/>
      <c r="F290" s="5"/>
      <c r="G290" s="6"/>
      <c r="H290" s="6"/>
      <c r="I290" s="6"/>
      <c r="J290" s="6"/>
      <c r="K290" s="6"/>
      <c r="L290" s="6"/>
      <c r="M290" s="6"/>
      <c r="N290" s="7"/>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7"/>
      <c r="BD290" s="6"/>
      <c r="BE290" s="6"/>
      <c r="BF290" s="6"/>
      <c r="BG290" s="6"/>
      <c r="BH290" s="6"/>
      <c r="BI290" s="6"/>
      <c r="BJ290" s="6"/>
      <c r="BK290" s="6"/>
      <c r="BL290" s="6">
        <v>1028195</v>
      </c>
      <c r="BM290" s="6">
        <v>2243778</v>
      </c>
    </row>
    <row r="291" spans="1:65" ht="21" customHeight="1">
      <c r="A291" s="5"/>
      <c r="B291" s="5"/>
      <c r="C291" s="5"/>
      <c r="D291" s="5" t="s">
        <v>61</v>
      </c>
      <c r="E291" s="5"/>
      <c r="F291" s="5"/>
      <c r="G291" s="6"/>
      <c r="H291" s="6"/>
      <c r="I291" s="6"/>
      <c r="J291" s="6"/>
      <c r="K291" s="6"/>
      <c r="L291" s="6"/>
      <c r="M291" s="6"/>
      <c r="N291" s="7"/>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7"/>
      <c r="BD291" s="6"/>
      <c r="BE291" s="6"/>
      <c r="BF291" s="6"/>
      <c r="BG291" s="6"/>
      <c r="BH291" s="6"/>
      <c r="BI291" s="6"/>
      <c r="BJ291" s="6"/>
      <c r="BK291" s="6"/>
      <c r="BL291" s="6">
        <v>257000</v>
      </c>
      <c r="BM291" s="6"/>
    </row>
    <row r="292" spans="1:65" ht="21" customHeight="1">
      <c r="A292" s="5"/>
      <c r="B292" s="5"/>
      <c r="C292" s="5"/>
      <c r="D292" s="5" t="s">
        <v>33</v>
      </c>
      <c r="E292" s="5"/>
      <c r="F292" s="5"/>
      <c r="G292" s="6"/>
      <c r="H292" s="6"/>
      <c r="I292" s="6"/>
      <c r="J292" s="6"/>
      <c r="K292" s="6"/>
      <c r="L292" s="6"/>
      <c r="M292" s="6"/>
      <c r="N292" s="7"/>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7"/>
      <c r="BD292" s="6"/>
      <c r="BE292" s="6"/>
      <c r="BF292" s="6"/>
      <c r="BG292" s="6"/>
      <c r="BH292" s="6"/>
      <c r="BI292" s="6"/>
      <c r="BJ292" s="6"/>
      <c r="BK292" s="6"/>
      <c r="BL292" s="6">
        <v>185875</v>
      </c>
      <c r="BM292" s="6">
        <v>144226</v>
      </c>
    </row>
    <row r="293" spans="1:65" ht="21" customHeight="1">
      <c r="A293" s="5"/>
      <c r="B293" s="5"/>
      <c r="C293" s="5" t="s">
        <v>62</v>
      </c>
      <c r="D293" s="5"/>
      <c r="E293" s="5"/>
      <c r="F293" s="5"/>
      <c r="G293" s="6"/>
      <c r="H293" s="6"/>
      <c r="I293" s="6"/>
      <c r="J293" s="6"/>
      <c r="K293" s="6"/>
      <c r="L293" s="6"/>
      <c r="M293" s="6"/>
      <c r="N293" s="7"/>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7"/>
      <c r="BD293" s="6"/>
      <c r="BE293" s="6"/>
      <c r="BF293" s="6"/>
      <c r="BG293" s="6"/>
      <c r="BH293" s="6">
        <v>17584598</v>
      </c>
      <c r="BI293" s="6">
        <v>36838040</v>
      </c>
      <c r="BJ293" s="6">
        <v>28333842</v>
      </c>
      <c r="BK293" s="6">
        <v>15779622</v>
      </c>
      <c r="BL293" s="6">
        <v>17436531</v>
      </c>
      <c r="BM293" s="6">
        <v>13260522</v>
      </c>
    </row>
    <row r="294" spans="1:65" ht="21" customHeight="1">
      <c r="A294" s="5"/>
      <c r="B294" s="5"/>
      <c r="C294" s="5" t="s">
        <v>35</v>
      </c>
      <c r="D294" s="5"/>
      <c r="E294" s="5"/>
      <c r="F294" s="5"/>
      <c r="G294" s="6"/>
      <c r="H294" s="6"/>
      <c r="I294" s="6"/>
      <c r="J294" s="6"/>
      <c r="K294" s="6"/>
      <c r="L294" s="6"/>
      <c r="M294" s="6"/>
      <c r="N294" s="7"/>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7"/>
      <c r="BD294" s="6"/>
      <c r="BE294" s="6"/>
      <c r="BF294" s="6"/>
      <c r="BG294" s="6"/>
      <c r="BH294" s="6">
        <v>4557419</v>
      </c>
      <c r="BI294" s="6">
        <v>9016906</v>
      </c>
      <c r="BJ294" s="6">
        <v>8836545</v>
      </c>
      <c r="BK294" s="6">
        <v>3922981</v>
      </c>
      <c r="BL294" s="6">
        <v>4764634</v>
      </c>
      <c r="BM294" s="6">
        <v>5369221</v>
      </c>
    </row>
    <row r="295" spans="1:65" ht="21" customHeight="1">
      <c r="A295" s="5"/>
      <c r="B295" s="5"/>
      <c r="C295" s="5" t="s">
        <v>63</v>
      </c>
      <c r="D295" s="5"/>
      <c r="E295" s="5"/>
      <c r="F295" s="5"/>
      <c r="G295" s="6"/>
      <c r="H295" s="6"/>
      <c r="I295" s="6"/>
      <c r="J295" s="6"/>
      <c r="K295" s="6"/>
      <c r="L295" s="6"/>
      <c r="M295" s="6"/>
      <c r="N295" s="7"/>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7"/>
      <c r="BD295" s="6"/>
      <c r="BE295" s="6"/>
      <c r="BF295" s="6"/>
      <c r="BG295" s="6"/>
      <c r="BH295" s="6"/>
      <c r="BI295" s="6"/>
      <c r="BJ295" s="6">
        <v>45033225</v>
      </c>
      <c r="BK295" s="6">
        <v>99848666</v>
      </c>
      <c r="BL295" s="6">
        <v>104456134</v>
      </c>
      <c r="BM295" s="6">
        <v>105435456</v>
      </c>
    </row>
    <row r="296" spans="1:65" ht="21" customHeight="1">
      <c r="A296" s="5"/>
      <c r="B296" s="5"/>
      <c r="C296" s="5" t="s">
        <v>64</v>
      </c>
      <c r="D296" s="5"/>
      <c r="E296" s="5"/>
      <c r="F296" s="5"/>
      <c r="G296" s="6"/>
      <c r="H296" s="6"/>
      <c r="I296" s="6"/>
      <c r="J296" s="6"/>
      <c r="K296" s="6"/>
      <c r="L296" s="6"/>
      <c r="M296" s="6"/>
      <c r="N296" s="7"/>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7"/>
      <c r="BD296" s="6"/>
      <c r="BE296" s="6"/>
      <c r="BF296" s="6"/>
      <c r="BG296" s="6"/>
      <c r="BH296" s="6"/>
      <c r="BI296" s="6"/>
      <c r="BJ296" s="6">
        <v>5172039</v>
      </c>
      <c r="BK296" s="6">
        <v>8521727</v>
      </c>
      <c r="BL296" s="6">
        <v>5139620</v>
      </c>
      <c r="BM296" s="6">
        <v>5006883</v>
      </c>
    </row>
    <row r="297" spans="1:65" ht="21" customHeight="1">
      <c r="A297" s="5"/>
      <c r="B297" s="5"/>
      <c r="C297" s="90" t="s">
        <v>339</v>
      </c>
      <c r="D297" s="90"/>
      <c r="E297" s="90"/>
      <c r="F297" s="90"/>
      <c r="G297" s="6"/>
      <c r="H297" s="6"/>
      <c r="I297" s="6"/>
      <c r="J297" s="6"/>
      <c r="K297" s="6"/>
      <c r="L297" s="6"/>
      <c r="M297" s="6"/>
      <c r="N297" s="7"/>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7"/>
      <c r="BD297" s="6"/>
      <c r="BE297" s="6"/>
      <c r="BF297" s="6"/>
      <c r="BG297" s="6"/>
      <c r="BH297" s="6"/>
      <c r="BI297" s="6"/>
      <c r="BJ297" s="6"/>
      <c r="BK297" s="86">
        <v>29800000</v>
      </c>
      <c r="BL297" s="6"/>
      <c r="BM297" s="6"/>
    </row>
    <row r="298" spans="1:65" ht="21" customHeight="1">
      <c r="A298" s="5"/>
      <c r="B298" s="5"/>
      <c r="C298" s="5" t="s">
        <v>338</v>
      </c>
      <c r="D298" s="5"/>
      <c r="E298" s="5"/>
      <c r="F298" s="5"/>
      <c r="G298" s="6"/>
      <c r="H298" s="6"/>
      <c r="I298" s="6"/>
      <c r="J298" s="6"/>
      <c r="K298" s="6"/>
      <c r="L298" s="6"/>
      <c r="M298" s="6"/>
      <c r="N298" s="7"/>
      <c r="O298" s="6"/>
      <c r="P298" s="6"/>
      <c r="Q298" s="6"/>
      <c r="R298" s="6"/>
      <c r="S298" s="6"/>
      <c r="T298" s="6"/>
      <c r="U298" s="6"/>
      <c r="V298" s="6"/>
      <c r="W298" s="6"/>
      <c r="X298" s="6"/>
      <c r="Y298" s="6"/>
      <c r="Z298" s="6"/>
      <c r="AA298" s="6"/>
      <c r="AB298" s="6"/>
      <c r="AC298" s="6"/>
      <c r="AD298" s="6">
        <v>0</v>
      </c>
      <c r="AE298" s="6">
        <v>0</v>
      </c>
      <c r="AF298" s="6">
        <v>0</v>
      </c>
      <c r="AG298" s="6"/>
      <c r="AH298" s="6"/>
      <c r="AI298" s="6"/>
      <c r="AJ298" s="6"/>
      <c r="AK298" s="6">
        <v>39632</v>
      </c>
      <c r="AL298" s="6">
        <v>52122</v>
      </c>
      <c r="AM298" s="6">
        <v>55733</v>
      </c>
      <c r="AN298" s="6">
        <v>54296</v>
      </c>
      <c r="AO298" s="6">
        <v>453003</v>
      </c>
      <c r="AP298" s="6">
        <v>621003</v>
      </c>
      <c r="AQ298" s="6">
        <v>1080850</v>
      </c>
      <c r="AR298" s="6">
        <v>1053586</v>
      </c>
      <c r="AS298" s="6">
        <v>1209824</v>
      </c>
      <c r="AT298" s="6">
        <v>2059757</v>
      </c>
      <c r="AU298" s="6">
        <v>2844133</v>
      </c>
      <c r="AV298" s="6">
        <v>3241456</v>
      </c>
      <c r="AW298" s="6">
        <v>3953294</v>
      </c>
      <c r="AX298" s="6">
        <v>3728039</v>
      </c>
      <c r="AY298" s="6">
        <v>3899611</v>
      </c>
      <c r="AZ298" s="6">
        <v>4125381</v>
      </c>
      <c r="BA298" s="6">
        <v>4350315</v>
      </c>
      <c r="BB298" s="6">
        <v>4478901</v>
      </c>
      <c r="BC298" s="7">
        <v>5306673</v>
      </c>
      <c r="BD298" s="6">
        <v>4699503</v>
      </c>
      <c r="BE298" s="6">
        <v>5020269</v>
      </c>
      <c r="BF298" s="6">
        <v>743136</v>
      </c>
      <c r="BG298" s="6">
        <v>1229218</v>
      </c>
      <c r="BH298" s="6">
        <v>3481819</v>
      </c>
      <c r="BI298" s="6">
        <v>4807459</v>
      </c>
      <c r="BJ298" s="6">
        <v>4870242</v>
      </c>
      <c r="BK298" s="6">
        <v>4677907</v>
      </c>
      <c r="BL298" s="6"/>
      <c r="BM298" s="6"/>
    </row>
    <row r="299" spans="1:65" ht="21" customHeight="1">
      <c r="A299" s="5"/>
      <c r="B299" s="5"/>
      <c r="C299" s="5" t="s">
        <v>353</v>
      </c>
      <c r="D299" s="5"/>
      <c r="E299" s="5"/>
      <c r="F299" s="5"/>
      <c r="G299" s="6"/>
      <c r="H299" s="6"/>
      <c r="I299" s="6"/>
      <c r="J299" s="6"/>
      <c r="K299" s="6"/>
      <c r="L299" s="6"/>
      <c r="M299" s="6"/>
      <c r="N299" s="7"/>
      <c r="O299" s="6"/>
      <c r="P299" s="6"/>
      <c r="Q299" s="6"/>
      <c r="R299" s="6"/>
      <c r="S299" s="6"/>
      <c r="T299" s="6"/>
      <c r="U299" s="6"/>
      <c r="V299" s="6"/>
      <c r="W299" s="6"/>
      <c r="X299" s="6"/>
      <c r="Y299" s="6"/>
      <c r="Z299" s="6"/>
      <c r="AA299" s="6"/>
      <c r="AB299" s="6"/>
      <c r="AC299" s="6"/>
      <c r="AD299" s="6">
        <v>0</v>
      </c>
      <c r="AE299" s="6">
        <v>0</v>
      </c>
      <c r="AF299" s="6">
        <v>0</v>
      </c>
      <c r="AG299" s="6"/>
      <c r="AH299" s="6"/>
      <c r="AI299" s="6"/>
      <c r="AJ299" s="6"/>
      <c r="AK299" s="6">
        <v>100</v>
      </c>
      <c r="AL299" s="6">
        <v>100</v>
      </c>
      <c r="AM299" s="6">
        <v>100</v>
      </c>
      <c r="AN299" s="6">
        <v>100</v>
      </c>
      <c r="AO299" s="6">
        <v>100</v>
      </c>
      <c r="AP299" s="6">
        <v>100</v>
      </c>
      <c r="AQ299" s="6">
        <v>100</v>
      </c>
      <c r="AR299" s="6">
        <v>100</v>
      </c>
      <c r="AS299" s="6">
        <v>100</v>
      </c>
      <c r="AT299" s="6">
        <v>100</v>
      </c>
      <c r="AU299" s="6">
        <v>100</v>
      </c>
      <c r="AV299" s="6">
        <v>100</v>
      </c>
      <c r="AW299" s="6">
        <v>100</v>
      </c>
      <c r="AX299" s="6">
        <v>100</v>
      </c>
      <c r="AY299" s="6">
        <v>100</v>
      </c>
      <c r="AZ299" s="6">
        <v>100</v>
      </c>
      <c r="BA299" s="6">
        <v>100</v>
      </c>
      <c r="BB299" s="6">
        <v>100</v>
      </c>
      <c r="BC299" s="7">
        <v>100</v>
      </c>
      <c r="BD299" s="6">
        <v>100</v>
      </c>
      <c r="BE299" s="6">
        <v>100</v>
      </c>
      <c r="BF299" s="6">
        <v>100</v>
      </c>
      <c r="BG299" s="6">
        <v>100</v>
      </c>
      <c r="BH299" s="6">
        <v>100</v>
      </c>
      <c r="BI299" s="6">
        <v>100</v>
      </c>
      <c r="BJ299" s="6">
        <v>100</v>
      </c>
      <c r="BK299" s="6">
        <v>100</v>
      </c>
      <c r="BL299" s="6"/>
      <c r="BM299" s="6"/>
    </row>
    <row r="300" spans="1:65" ht="21" customHeight="1">
      <c r="A300" s="5"/>
      <c r="B300" s="5"/>
      <c r="C300" s="81" t="s">
        <v>334</v>
      </c>
      <c r="D300" s="82"/>
      <c r="E300" s="82"/>
      <c r="F300" s="82"/>
      <c r="G300" s="6"/>
      <c r="H300" s="6"/>
      <c r="I300" s="6"/>
      <c r="J300" s="6"/>
      <c r="K300" s="6"/>
      <c r="L300" s="6"/>
      <c r="M300" s="6"/>
      <c r="N300" s="7"/>
      <c r="O300" s="6"/>
      <c r="P300" s="6"/>
      <c r="Q300" s="6"/>
      <c r="R300" s="6"/>
      <c r="S300" s="6"/>
      <c r="T300" s="6"/>
      <c r="U300" s="6"/>
      <c r="V300" s="6"/>
      <c r="W300" s="6"/>
      <c r="X300" s="6"/>
      <c r="Y300" s="6"/>
      <c r="Z300" s="6"/>
      <c r="AA300" s="6"/>
      <c r="AB300" s="6"/>
      <c r="AC300" s="6"/>
      <c r="AD300" s="6">
        <v>0</v>
      </c>
      <c r="AE300" s="6">
        <v>0</v>
      </c>
      <c r="AF300" s="6">
        <v>0</v>
      </c>
      <c r="AG300" s="6"/>
      <c r="AH300" s="6"/>
      <c r="AI300" s="6"/>
      <c r="AJ300" s="6"/>
      <c r="AK300" s="6">
        <v>57796</v>
      </c>
      <c r="AL300" s="6">
        <v>57901</v>
      </c>
      <c r="AM300" s="6">
        <v>62809</v>
      </c>
      <c r="AN300" s="6">
        <v>48666</v>
      </c>
      <c r="AO300" s="6">
        <v>74696</v>
      </c>
      <c r="AP300" s="6">
        <v>73461</v>
      </c>
      <c r="AQ300" s="6">
        <v>74696</v>
      </c>
      <c r="AR300" s="6">
        <v>74696</v>
      </c>
      <c r="AS300" s="6">
        <v>74696</v>
      </c>
      <c r="AT300" s="6">
        <v>74696</v>
      </c>
      <c r="AU300" s="6">
        <v>74696</v>
      </c>
      <c r="AV300" s="6">
        <v>74696</v>
      </c>
      <c r="AW300" s="6">
        <v>74696</v>
      </c>
      <c r="AX300" s="6">
        <v>74696</v>
      </c>
      <c r="AY300" s="6">
        <v>60758</v>
      </c>
      <c r="AZ300" s="6">
        <v>71080</v>
      </c>
      <c r="BA300" s="6">
        <v>67508</v>
      </c>
      <c r="BB300" s="6">
        <v>40504</v>
      </c>
      <c r="BC300" s="7">
        <v>33752</v>
      </c>
      <c r="BD300" s="6">
        <v>14730</v>
      </c>
      <c r="BE300" s="6">
        <v>12274</v>
      </c>
      <c r="BF300" s="6">
        <v>8416</v>
      </c>
      <c r="BG300" s="6">
        <v>7978</v>
      </c>
      <c r="BH300" s="6">
        <v>8548</v>
      </c>
      <c r="BI300" s="6">
        <v>8548</v>
      </c>
      <c r="BJ300" s="6">
        <v>8548</v>
      </c>
      <c r="BK300" s="6">
        <v>8548</v>
      </c>
      <c r="BL300" s="6"/>
      <c r="BM300" s="6"/>
    </row>
    <row r="301" spans="1:65" ht="21" customHeight="1">
      <c r="A301" s="5"/>
      <c r="B301" s="5"/>
      <c r="C301" s="5" t="s">
        <v>335</v>
      </c>
      <c r="D301" s="5"/>
      <c r="E301" s="5"/>
      <c r="F301" s="5"/>
      <c r="G301" s="6"/>
      <c r="H301" s="6"/>
      <c r="I301" s="6"/>
      <c r="J301" s="6"/>
      <c r="K301" s="6"/>
      <c r="L301" s="6"/>
      <c r="M301" s="6"/>
      <c r="N301" s="7"/>
      <c r="O301" s="6"/>
      <c r="P301" s="6"/>
      <c r="Q301" s="6"/>
      <c r="R301" s="6"/>
      <c r="S301" s="6"/>
      <c r="T301" s="6"/>
      <c r="U301" s="6"/>
      <c r="V301" s="6"/>
      <c r="W301" s="6"/>
      <c r="X301" s="6"/>
      <c r="Y301" s="6"/>
      <c r="Z301" s="6"/>
      <c r="AA301" s="6"/>
      <c r="AB301" s="6"/>
      <c r="AC301" s="6"/>
      <c r="AD301" s="6">
        <v>0</v>
      </c>
      <c r="AE301" s="6">
        <v>0</v>
      </c>
      <c r="AF301" s="6">
        <v>0</v>
      </c>
      <c r="AG301" s="6"/>
      <c r="AH301" s="6"/>
      <c r="AI301" s="6"/>
      <c r="AJ301" s="6"/>
      <c r="AK301" s="6">
        <v>1800000</v>
      </c>
      <c r="AL301" s="6">
        <v>2000000</v>
      </c>
      <c r="AM301" s="6">
        <v>2000000</v>
      </c>
      <c r="AN301" s="6">
        <v>2000000</v>
      </c>
      <c r="AO301" s="6">
        <v>2000000</v>
      </c>
      <c r="AP301" s="6">
        <v>2000000</v>
      </c>
      <c r="AQ301" s="6">
        <v>2000000</v>
      </c>
      <c r="AR301" s="6">
        <v>2000000</v>
      </c>
      <c r="AS301" s="6">
        <v>2000000</v>
      </c>
      <c r="AT301" s="6">
        <v>2000000</v>
      </c>
      <c r="AU301" s="6">
        <v>2000000</v>
      </c>
      <c r="AV301" s="6">
        <v>2159000</v>
      </c>
      <c r="AW301" s="6">
        <v>2000000</v>
      </c>
      <c r="AX301" s="6">
        <v>2000000</v>
      </c>
      <c r="AY301" s="6">
        <v>2000000</v>
      </c>
      <c r="AZ301" s="6">
        <v>2000000</v>
      </c>
      <c r="BA301" s="6">
        <v>2000000</v>
      </c>
      <c r="BB301" s="6">
        <v>3000000</v>
      </c>
      <c r="BC301" s="7">
        <v>2800000</v>
      </c>
      <c r="BD301" s="6">
        <v>2800000</v>
      </c>
      <c r="BE301" s="6">
        <v>2800000</v>
      </c>
      <c r="BF301" s="6">
        <v>2800000</v>
      </c>
      <c r="BG301" s="6">
        <v>2500000</v>
      </c>
      <c r="BH301" s="6">
        <v>2500000</v>
      </c>
      <c r="BI301" s="6">
        <v>2000000</v>
      </c>
      <c r="BJ301" s="6">
        <v>2000000</v>
      </c>
      <c r="BK301" s="6">
        <v>1800000</v>
      </c>
      <c r="BL301" s="6"/>
      <c r="BM301" s="6"/>
    </row>
    <row r="302" spans="1:65" ht="21" customHeight="1">
      <c r="A302" s="5"/>
      <c r="B302" s="5"/>
      <c r="C302" s="5"/>
      <c r="D302" s="5"/>
      <c r="E302" s="5"/>
      <c r="F302" s="5"/>
      <c r="G302" s="6"/>
      <c r="H302" s="6"/>
      <c r="I302" s="6"/>
      <c r="J302" s="6"/>
      <c r="K302" s="6"/>
      <c r="L302" s="6"/>
      <c r="M302" s="6"/>
      <c r="N302" s="7"/>
      <c r="O302" s="6"/>
      <c r="P302" s="6"/>
      <c r="Q302" s="6"/>
      <c r="R302" s="6"/>
      <c r="S302" s="6"/>
      <c r="T302" s="6"/>
      <c r="U302" s="6"/>
      <c r="V302" s="6"/>
      <c r="W302" s="6"/>
      <c r="X302" s="6"/>
      <c r="Y302" s="6"/>
      <c r="Z302" s="6"/>
      <c r="AA302" s="6"/>
      <c r="AB302" s="6"/>
      <c r="AC302" s="6"/>
      <c r="AD302" s="6"/>
      <c r="AE302" s="6"/>
      <c r="AF302" s="6"/>
      <c r="AG302" s="6"/>
      <c r="AH302" s="6"/>
      <c r="AI302" s="6"/>
      <c r="AJ302" s="6"/>
      <c r="AK302" s="6"/>
      <c r="AL302" s="5"/>
      <c r="AM302" s="5"/>
      <c r="AN302" s="5"/>
      <c r="AO302" s="5"/>
      <c r="AP302" s="5"/>
      <c r="AQ302" s="5"/>
      <c r="AR302" s="5"/>
      <c r="AS302" s="6"/>
      <c r="AT302" s="63"/>
      <c r="AU302" s="63"/>
      <c r="AV302" s="63"/>
      <c r="AW302" s="6"/>
      <c r="AX302" s="6"/>
      <c r="AY302" s="5"/>
      <c r="AZ302" s="5"/>
      <c r="BA302" s="5"/>
      <c r="BB302" s="5"/>
      <c r="BC302" s="31"/>
      <c r="BD302" s="6"/>
      <c r="BE302" s="6"/>
      <c r="BF302" s="6"/>
      <c r="BG302" s="6"/>
      <c r="BH302" s="6"/>
      <c r="BI302" s="6"/>
      <c r="BJ302" s="6"/>
      <c r="BK302" s="6"/>
      <c r="BL302" s="6"/>
      <c r="BM302" s="6"/>
    </row>
    <row r="303" spans="1:65" ht="21" customHeight="1">
      <c r="A303" s="4" t="s">
        <v>65</v>
      </c>
      <c r="B303" s="5"/>
      <c r="C303" s="5"/>
      <c r="D303" s="5"/>
      <c r="E303" s="5"/>
      <c r="F303" s="5"/>
      <c r="G303" s="6"/>
      <c r="H303" s="6"/>
      <c r="I303" s="6"/>
      <c r="J303" s="6"/>
      <c r="K303" s="6"/>
      <c r="L303" s="6"/>
      <c r="M303" s="6"/>
      <c r="N303" s="7"/>
      <c r="O303" s="6"/>
      <c r="P303" s="6"/>
      <c r="Q303" s="6"/>
      <c r="R303" s="6"/>
      <c r="S303" s="6"/>
      <c r="T303" s="6"/>
      <c r="U303" s="6"/>
      <c r="V303" s="6"/>
      <c r="W303" s="6"/>
      <c r="X303" s="6"/>
      <c r="Y303" s="6"/>
      <c r="Z303" s="6"/>
      <c r="AA303" s="6"/>
      <c r="AB303" s="6"/>
      <c r="AC303" s="6"/>
      <c r="AD303" s="6"/>
      <c r="AE303" s="6"/>
      <c r="AF303" s="6"/>
      <c r="AG303" s="6"/>
      <c r="AH303" s="6"/>
      <c r="AI303" s="6"/>
      <c r="AJ303" s="6"/>
      <c r="AK303" s="6"/>
      <c r="AL303" s="5"/>
      <c r="AM303" s="5"/>
      <c r="AN303" s="5"/>
      <c r="AO303" s="5"/>
      <c r="AP303" s="5"/>
      <c r="AQ303" s="5"/>
      <c r="AR303" s="5"/>
      <c r="AS303" s="6"/>
      <c r="AT303" s="63"/>
      <c r="AU303" s="63"/>
      <c r="AV303" s="63"/>
      <c r="AW303" s="6"/>
      <c r="AX303" s="6"/>
      <c r="AY303" s="6"/>
      <c r="AZ303" s="6"/>
      <c r="BA303" s="6"/>
      <c r="BB303" s="6"/>
      <c r="BC303" s="7"/>
      <c r="BD303" s="6"/>
      <c r="BE303" s="6"/>
      <c r="BF303" s="6"/>
      <c r="BG303" s="6"/>
      <c r="BH303" s="6"/>
      <c r="BI303" s="6"/>
      <c r="BJ303" s="6"/>
      <c r="BK303" s="6"/>
      <c r="BL303" s="6"/>
      <c r="BM303" s="6"/>
    </row>
    <row r="304" spans="1:65" ht="21" customHeight="1">
      <c r="A304" s="54" t="s">
        <v>66</v>
      </c>
      <c r="B304" s="54"/>
      <c r="C304" s="54"/>
      <c r="D304" s="54"/>
      <c r="E304" s="54"/>
      <c r="F304" s="54"/>
      <c r="G304" s="99"/>
      <c r="H304" s="99"/>
      <c r="I304" s="99"/>
      <c r="J304" s="99"/>
      <c r="K304" s="99"/>
      <c r="L304" s="99"/>
      <c r="M304" s="99"/>
      <c r="N304" s="102"/>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9"/>
      <c r="AL304" s="54"/>
      <c r="AM304" s="54"/>
      <c r="AN304" s="54"/>
      <c r="AO304" s="54"/>
      <c r="AP304" s="54"/>
      <c r="AQ304" s="54"/>
      <c r="AR304" s="54"/>
      <c r="AS304" s="99"/>
      <c r="AT304" s="103"/>
      <c r="AU304" s="103"/>
      <c r="AV304" s="103"/>
      <c r="AW304" s="99"/>
      <c r="AX304" s="6"/>
      <c r="AY304" s="6"/>
      <c r="AZ304" s="6"/>
      <c r="BA304" s="6"/>
      <c r="BB304" s="6"/>
      <c r="BC304" s="7"/>
      <c r="BD304" s="6"/>
      <c r="BE304" s="6"/>
      <c r="BF304" s="6"/>
      <c r="BG304" s="6"/>
      <c r="BH304" s="6"/>
      <c r="BI304" s="6"/>
      <c r="BJ304" s="6"/>
      <c r="BK304" s="6"/>
      <c r="BL304" s="6"/>
      <c r="BM304" s="6"/>
    </row>
    <row r="305" spans="1:65" ht="21" customHeight="1">
      <c r="A305" s="5" t="s">
        <v>67</v>
      </c>
      <c r="B305" s="5"/>
      <c r="C305" s="5"/>
      <c r="D305" s="5"/>
      <c r="E305" s="5"/>
      <c r="F305" s="5"/>
      <c r="G305" s="6"/>
      <c r="H305" s="6"/>
      <c r="I305" s="6"/>
      <c r="J305" s="6"/>
      <c r="K305" s="6"/>
      <c r="L305" s="6"/>
      <c r="M305" s="6"/>
      <c r="N305" s="7"/>
      <c r="O305" s="6"/>
      <c r="P305" s="6"/>
      <c r="Q305" s="6"/>
      <c r="R305" s="6"/>
      <c r="S305" s="6"/>
      <c r="T305" s="6"/>
      <c r="U305" s="6"/>
      <c r="V305" s="6"/>
      <c r="W305" s="6"/>
      <c r="X305" s="6"/>
      <c r="Y305" s="6"/>
      <c r="Z305" s="6"/>
      <c r="AA305" s="6"/>
      <c r="AB305" s="6"/>
      <c r="AC305" s="6"/>
      <c r="AD305" s="6"/>
      <c r="AE305" s="6"/>
      <c r="AF305" s="6"/>
      <c r="AG305" s="6"/>
      <c r="AH305" s="6"/>
      <c r="AI305" s="6"/>
      <c r="AJ305" s="6"/>
      <c r="AK305" s="6"/>
      <c r="AL305" s="5"/>
      <c r="AM305" s="5"/>
      <c r="AN305" s="5"/>
      <c r="AO305" s="5"/>
      <c r="AP305" s="5"/>
      <c r="AQ305" s="5"/>
      <c r="AR305" s="5"/>
      <c r="AS305" s="6"/>
      <c r="AT305" s="6"/>
      <c r="AU305" s="6"/>
      <c r="AV305" s="6"/>
      <c r="AW305" s="6"/>
      <c r="AX305" s="6"/>
      <c r="AY305" s="6"/>
      <c r="AZ305" s="6"/>
      <c r="BA305" s="6"/>
      <c r="BB305" s="6"/>
      <c r="BC305" s="7"/>
      <c r="BD305" s="6"/>
      <c r="BE305" s="6"/>
      <c r="BF305" s="6"/>
      <c r="BG305" s="6"/>
      <c r="BH305" s="6"/>
      <c r="BI305" s="6"/>
      <c r="BJ305" s="6"/>
      <c r="BK305" s="6"/>
      <c r="BL305" s="6"/>
      <c r="BM305" s="6"/>
    </row>
    <row r="306" spans="1:65" ht="21" customHeight="1">
      <c r="A306" s="5"/>
      <c r="B306" s="5" t="s">
        <v>332</v>
      </c>
      <c r="C306" s="5"/>
      <c r="D306" s="5"/>
      <c r="E306" s="5"/>
      <c r="F306" s="5"/>
      <c r="G306" s="9"/>
      <c r="H306" s="9"/>
      <c r="I306" s="9"/>
      <c r="J306" s="9"/>
      <c r="K306" s="9"/>
      <c r="L306" s="9"/>
      <c r="M306" s="9"/>
      <c r="N306" s="10"/>
      <c r="O306" s="9"/>
      <c r="P306" s="9"/>
      <c r="Q306" s="9"/>
      <c r="R306" s="9"/>
      <c r="S306" s="9"/>
      <c r="T306" s="9"/>
      <c r="U306" s="9"/>
      <c r="V306" s="9"/>
      <c r="W306" s="9"/>
      <c r="X306" s="9">
        <f aca="true" t="shared" si="31" ref="X306:BD306">X307+X314+X316</f>
        <v>52180178</v>
      </c>
      <c r="Y306" s="9">
        <f t="shared" si="31"/>
        <v>59683000</v>
      </c>
      <c r="Z306" s="9">
        <f t="shared" si="31"/>
        <v>88453468</v>
      </c>
      <c r="AA306" s="9">
        <f t="shared" si="31"/>
        <v>97114000</v>
      </c>
      <c r="AB306" s="9">
        <f t="shared" si="31"/>
        <v>106078000</v>
      </c>
      <c r="AC306" s="9">
        <f t="shared" si="31"/>
        <v>100151000</v>
      </c>
      <c r="AD306" s="9">
        <f t="shared" si="31"/>
        <v>109228000</v>
      </c>
      <c r="AE306" s="9">
        <f t="shared" si="31"/>
        <v>113927000</v>
      </c>
      <c r="AF306" s="9">
        <f t="shared" si="31"/>
        <v>110035000</v>
      </c>
      <c r="AG306" s="9">
        <f t="shared" si="31"/>
        <v>112634000</v>
      </c>
      <c r="AH306" s="9">
        <f t="shared" si="31"/>
        <v>119947940</v>
      </c>
      <c r="AI306" s="9">
        <f t="shared" si="31"/>
        <v>128300000</v>
      </c>
      <c r="AJ306" s="9">
        <f t="shared" si="31"/>
        <v>129335000</v>
      </c>
      <c r="AK306" s="9">
        <f t="shared" si="31"/>
        <v>130862000</v>
      </c>
      <c r="AL306" s="9">
        <f t="shared" si="31"/>
        <v>138745000</v>
      </c>
      <c r="AM306" s="9">
        <f t="shared" si="31"/>
        <v>136250000</v>
      </c>
      <c r="AN306" s="9">
        <f t="shared" si="31"/>
        <v>134294000</v>
      </c>
      <c r="AO306" s="9">
        <f t="shared" si="31"/>
        <v>128210000</v>
      </c>
      <c r="AP306" s="9">
        <f t="shared" si="31"/>
        <v>125850000</v>
      </c>
      <c r="AQ306" s="9">
        <f t="shared" si="31"/>
        <v>123540000</v>
      </c>
      <c r="AR306" s="9">
        <f t="shared" si="31"/>
        <v>135286844</v>
      </c>
      <c r="AS306" s="9">
        <f t="shared" si="31"/>
        <v>129833680</v>
      </c>
      <c r="AT306" s="9">
        <f t="shared" si="31"/>
        <v>125348449</v>
      </c>
      <c r="AU306" s="9">
        <f t="shared" si="31"/>
        <v>118221407</v>
      </c>
      <c r="AV306" s="9">
        <f t="shared" si="31"/>
        <v>128010000</v>
      </c>
      <c r="AW306" s="9">
        <f t="shared" si="31"/>
        <v>104322568</v>
      </c>
      <c r="AX306" s="9">
        <f t="shared" si="31"/>
        <v>106820901</v>
      </c>
      <c r="AY306" s="9">
        <f t="shared" si="31"/>
        <v>108526224</v>
      </c>
      <c r="AZ306" s="9">
        <f t="shared" si="31"/>
        <v>109777813</v>
      </c>
      <c r="BA306" s="9">
        <f t="shared" si="31"/>
        <v>110900486</v>
      </c>
      <c r="BB306" s="9">
        <f t="shared" si="31"/>
        <v>102148118</v>
      </c>
      <c r="BC306" s="10">
        <f t="shared" si="31"/>
        <v>99047629</v>
      </c>
      <c r="BD306" s="9">
        <f t="shared" si="31"/>
        <v>70500114</v>
      </c>
      <c r="BE306" s="9">
        <f>BE307+BE314+BE316</f>
        <v>136053805</v>
      </c>
      <c r="BF306" s="96">
        <f aca="true" t="shared" si="32" ref="BF306:BK306">BF307+BF315+BF316</f>
        <v>140633185</v>
      </c>
      <c r="BG306" s="104">
        <f t="shared" si="32"/>
        <v>8357622</v>
      </c>
      <c r="BH306" s="96">
        <f t="shared" si="32"/>
        <v>23865518</v>
      </c>
      <c r="BI306" s="96">
        <f t="shared" si="32"/>
        <v>54078161</v>
      </c>
      <c r="BJ306" s="96">
        <f t="shared" si="32"/>
        <v>51154361</v>
      </c>
      <c r="BK306" s="96">
        <f t="shared" si="32"/>
        <v>42756043</v>
      </c>
      <c r="BL306" s="9"/>
      <c r="BM306" s="9"/>
    </row>
    <row r="307" spans="1:65" ht="21" customHeight="1">
      <c r="A307" s="5"/>
      <c r="B307" s="5" t="s">
        <v>68</v>
      </c>
      <c r="C307" s="5"/>
      <c r="D307" s="5"/>
      <c r="E307" s="5"/>
      <c r="F307" s="5"/>
      <c r="G307" s="21"/>
      <c r="H307" s="21"/>
      <c r="I307" s="21"/>
      <c r="J307" s="21"/>
      <c r="K307" s="21"/>
      <c r="L307" s="21"/>
      <c r="M307" s="21"/>
      <c r="N307" s="98"/>
      <c r="O307" s="21"/>
      <c r="P307" s="21"/>
      <c r="Q307" s="21"/>
      <c r="R307" s="21"/>
      <c r="S307" s="21"/>
      <c r="T307" s="21"/>
      <c r="U307" s="21"/>
      <c r="V307" s="21"/>
      <c r="W307" s="21"/>
      <c r="X307" s="21">
        <f aca="true" t="shared" si="33" ref="X307:BK307">SUM(X308:X313)</f>
        <v>47097123</v>
      </c>
      <c r="Y307" s="21">
        <f t="shared" si="33"/>
        <v>53349288</v>
      </c>
      <c r="Z307" s="21">
        <f t="shared" si="33"/>
        <v>79496756</v>
      </c>
      <c r="AA307" s="21">
        <f t="shared" si="33"/>
        <v>86572926</v>
      </c>
      <c r="AB307" s="21">
        <f t="shared" si="33"/>
        <v>91338868</v>
      </c>
      <c r="AC307" s="21">
        <f t="shared" si="33"/>
        <v>84993672</v>
      </c>
      <c r="AD307" s="21">
        <f t="shared" si="33"/>
        <v>88859034</v>
      </c>
      <c r="AE307" s="21">
        <f t="shared" si="33"/>
        <v>91180826</v>
      </c>
      <c r="AF307" s="21">
        <f t="shared" si="33"/>
        <v>96255094</v>
      </c>
      <c r="AG307" s="21">
        <f t="shared" si="33"/>
        <v>97451020</v>
      </c>
      <c r="AH307" s="21">
        <f t="shared" si="33"/>
        <v>103714616</v>
      </c>
      <c r="AI307" s="21">
        <f t="shared" si="33"/>
        <v>111111664</v>
      </c>
      <c r="AJ307" s="21">
        <f t="shared" si="33"/>
        <v>111625209</v>
      </c>
      <c r="AK307" s="21">
        <f t="shared" si="33"/>
        <v>112311802</v>
      </c>
      <c r="AL307" s="21">
        <f t="shared" si="33"/>
        <v>119163697</v>
      </c>
      <c r="AM307" s="21">
        <f t="shared" si="33"/>
        <v>117243982</v>
      </c>
      <c r="AN307" s="21">
        <f t="shared" si="33"/>
        <v>115572295</v>
      </c>
      <c r="AO307" s="21">
        <f t="shared" si="33"/>
        <v>109779532</v>
      </c>
      <c r="AP307" s="21">
        <f t="shared" si="33"/>
        <v>107656592</v>
      </c>
      <c r="AQ307" s="21">
        <f t="shared" si="33"/>
        <v>105833681</v>
      </c>
      <c r="AR307" s="21">
        <f t="shared" si="33"/>
        <v>115115355</v>
      </c>
      <c r="AS307" s="21">
        <f t="shared" si="33"/>
        <v>106394529</v>
      </c>
      <c r="AT307" s="21">
        <f t="shared" si="33"/>
        <v>101149618</v>
      </c>
      <c r="AU307" s="21">
        <f t="shared" si="33"/>
        <v>89184176</v>
      </c>
      <c r="AV307" s="21">
        <f t="shared" si="33"/>
        <v>79470295</v>
      </c>
      <c r="AW307" s="21">
        <f t="shared" si="33"/>
        <v>87670076</v>
      </c>
      <c r="AX307" s="21">
        <f t="shared" si="33"/>
        <v>90524726</v>
      </c>
      <c r="AY307" s="21">
        <f t="shared" si="33"/>
        <v>92090494</v>
      </c>
      <c r="AZ307" s="21">
        <f t="shared" si="33"/>
        <v>93155399</v>
      </c>
      <c r="BA307" s="21">
        <f t="shared" si="33"/>
        <v>94133327</v>
      </c>
      <c r="BB307" s="21">
        <f t="shared" si="33"/>
        <v>87426268</v>
      </c>
      <c r="BC307" s="98">
        <f t="shared" si="33"/>
        <v>84585504</v>
      </c>
      <c r="BD307" s="21">
        <f t="shared" si="33"/>
        <v>58309631</v>
      </c>
      <c r="BE307" s="21">
        <f t="shared" si="33"/>
        <v>99299374</v>
      </c>
      <c r="BF307" s="21">
        <f t="shared" si="33"/>
        <v>78563572</v>
      </c>
      <c r="BG307" s="21">
        <f t="shared" si="33"/>
        <v>1892</v>
      </c>
      <c r="BH307" s="21">
        <f t="shared" si="33"/>
        <v>1812</v>
      </c>
      <c r="BI307" s="21">
        <f t="shared" si="33"/>
        <v>1407</v>
      </c>
      <c r="BJ307" s="21">
        <f t="shared" si="33"/>
        <v>1377</v>
      </c>
      <c r="BK307" s="21">
        <f t="shared" si="33"/>
        <v>32531075</v>
      </c>
      <c r="BL307" s="21"/>
      <c r="BM307" s="21"/>
    </row>
    <row r="308" spans="1:65" ht="21" customHeight="1">
      <c r="A308" s="5"/>
      <c r="B308" s="5"/>
      <c r="C308" s="5" t="s">
        <v>69</v>
      </c>
      <c r="D308" s="5"/>
      <c r="E308" s="5"/>
      <c r="F308" s="5"/>
      <c r="G308" s="6"/>
      <c r="H308" s="6"/>
      <c r="I308" s="6"/>
      <c r="J308" s="6"/>
      <c r="K308" s="6"/>
      <c r="L308" s="6"/>
      <c r="M308" s="6"/>
      <c r="N308" s="7"/>
      <c r="O308" s="6"/>
      <c r="P308" s="6"/>
      <c r="Q308" s="6"/>
      <c r="R308" s="6"/>
      <c r="S308" s="6"/>
      <c r="T308" s="6"/>
      <c r="U308" s="6"/>
      <c r="V308" s="6"/>
      <c r="W308" s="6"/>
      <c r="X308" s="6">
        <v>37678369</v>
      </c>
      <c r="Y308" s="6">
        <v>41353540</v>
      </c>
      <c r="Z308" s="6">
        <v>62057028</v>
      </c>
      <c r="AA308" s="6">
        <v>66543512</v>
      </c>
      <c r="AB308" s="6">
        <v>67994653</v>
      </c>
      <c r="AC308" s="6">
        <v>60435876</v>
      </c>
      <c r="AD308" s="6">
        <v>62294358</v>
      </c>
      <c r="AE308" s="6">
        <v>65301561</v>
      </c>
      <c r="AF308" s="6">
        <v>61051650</v>
      </c>
      <c r="AG308" s="6">
        <v>58702476</v>
      </c>
      <c r="AH308" s="6">
        <v>58731005</v>
      </c>
      <c r="AI308" s="6">
        <v>60059045</v>
      </c>
      <c r="AJ308" s="6">
        <v>57246840</v>
      </c>
      <c r="AK308" s="6">
        <v>53153022</v>
      </c>
      <c r="AL308" s="6">
        <v>54223317</v>
      </c>
      <c r="AM308" s="6">
        <v>48065357</v>
      </c>
      <c r="AN308" s="6">
        <v>45539889</v>
      </c>
      <c r="AO308" s="6">
        <v>40460733</v>
      </c>
      <c r="AP308" s="6">
        <v>38713091</v>
      </c>
      <c r="AQ308" s="6">
        <v>37455506</v>
      </c>
      <c r="AR308" s="6">
        <v>48026433</v>
      </c>
      <c r="AS308" s="6">
        <v>39443506</v>
      </c>
      <c r="AT308" s="6">
        <v>33589997</v>
      </c>
      <c r="AU308" s="6">
        <v>27110378</v>
      </c>
      <c r="AV308" s="6">
        <v>22263548</v>
      </c>
      <c r="AW308" s="6">
        <v>24789938</v>
      </c>
      <c r="AX308" s="6">
        <v>25903776</v>
      </c>
      <c r="AY308" s="6">
        <v>26344029</v>
      </c>
      <c r="AZ308" s="6">
        <v>24885614</v>
      </c>
      <c r="BA308" s="6">
        <v>22253593</v>
      </c>
      <c r="BB308" s="6">
        <v>21807681</v>
      </c>
      <c r="BC308" s="7">
        <v>14564193</v>
      </c>
      <c r="BD308" s="6">
        <v>8096186</v>
      </c>
      <c r="BE308" s="6">
        <v>8473035</v>
      </c>
      <c r="BF308" s="6">
        <v>10413008</v>
      </c>
      <c r="BG308" s="6">
        <v>0</v>
      </c>
      <c r="BH308" s="6"/>
      <c r="BI308" s="6"/>
      <c r="BJ308" s="6"/>
      <c r="BK308" s="6"/>
      <c r="BL308" s="6"/>
      <c r="BM308" s="6"/>
    </row>
    <row r="309" spans="1:65" ht="21" customHeight="1">
      <c r="A309" s="5"/>
      <c r="B309" s="5"/>
      <c r="C309" s="5" t="s">
        <v>70</v>
      </c>
      <c r="D309" s="5"/>
      <c r="E309" s="5"/>
      <c r="F309" s="5"/>
      <c r="G309" s="6"/>
      <c r="H309" s="6"/>
      <c r="I309" s="6"/>
      <c r="J309" s="6"/>
      <c r="K309" s="6"/>
      <c r="L309" s="6"/>
      <c r="M309" s="6"/>
      <c r="N309" s="7"/>
      <c r="O309" s="6"/>
      <c r="P309" s="6"/>
      <c r="Q309" s="6"/>
      <c r="R309" s="6"/>
      <c r="S309" s="6"/>
      <c r="T309" s="6"/>
      <c r="U309" s="6"/>
      <c r="V309" s="6"/>
      <c r="W309" s="6"/>
      <c r="X309" s="6">
        <v>6363396</v>
      </c>
      <c r="Y309" s="6">
        <v>7796431</v>
      </c>
      <c r="Z309" s="6">
        <v>10639835</v>
      </c>
      <c r="AA309" s="6">
        <v>12312406</v>
      </c>
      <c r="AB309" s="6">
        <v>13994049</v>
      </c>
      <c r="AC309" s="6">
        <v>15160297</v>
      </c>
      <c r="AD309" s="6">
        <v>17091997</v>
      </c>
      <c r="AE309" s="6">
        <v>19861913</v>
      </c>
      <c r="AF309" s="6">
        <v>29214555</v>
      </c>
      <c r="AG309" s="6">
        <v>32188010</v>
      </c>
      <c r="AH309" s="6">
        <v>37602743</v>
      </c>
      <c r="AI309" s="6">
        <v>42820637</v>
      </c>
      <c r="AJ309" s="6">
        <v>45600330</v>
      </c>
      <c r="AK309" s="6">
        <v>49698483</v>
      </c>
      <c r="AL309" s="6">
        <v>53948828</v>
      </c>
      <c r="AM309" s="6">
        <v>58044719</v>
      </c>
      <c r="AN309" s="6">
        <v>58768616</v>
      </c>
      <c r="AO309" s="6">
        <v>58265997</v>
      </c>
      <c r="AP309" s="6">
        <v>58051692</v>
      </c>
      <c r="AQ309" s="6">
        <v>57683510</v>
      </c>
      <c r="AR309" s="6">
        <v>56537703</v>
      </c>
      <c r="AS309" s="6">
        <v>56496621</v>
      </c>
      <c r="AT309" s="6">
        <v>56469500</v>
      </c>
      <c r="AU309" s="6">
        <v>50905171</v>
      </c>
      <c r="AV309" s="6">
        <v>45812123</v>
      </c>
      <c r="AW309" s="6">
        <v>48322884</v>
      </c>
      <c r="AX309" s="6">
        <v>49235513</v>
      </c>
      <c r="AY309" s="6">
        <v>49624568</v>
      </c>
      <c r="AZ309" s="6">
        <v>51588161</v>
      </c>
      <c r="BA309" s="6">
        <v>54932957</v>
      </c>
      <c r="BB309" s="6">
        <v>52321214</v>
      </c>
      <c r="BC309" s="7">
        <v>57523660</v>
      </c>
      <c r="BD309" s="6">
        <v>40804816</v>
      </c>
      <c r="BE309" s="6">
        <v>72512828</v>
      </c>
      <c r="BF309" s="6">
        <v>47307771</v>
      </c>
      <c r="BG309" s="6">
        <v>0</v>
      </c>
      <c r="BH309" s="6"/>
      <c r="BI309" s="6"/>
      <c r="BJ309" s="6"/>
      <c r="BK309" s="6"/>
      <c r="BL309" s="6"/>
      <c r="BM309" s="6"/>
    </row>
    <row r="310" spans="1:65" ht="21" customHeight="1">
      <c r="A310" s="5"/>
      <c r="B310" s="5"/>
      <c r="C310" s="5" t="s">
        <v>71</v>
      </c>
      <c r="D310" s="5"/>
      <c r="E310" s="5"/>
      <c r="F310" s="5"/>
      <c r="G310" s="6"/>
      <c r="H310" s="6"/>
      <c r="I310" s="6"/>
      <c r="J310" s="6"/>
      <c r="K310" s="6"/>
      <c r="L310" s="6"/>
      <c r="M310" s="6"/>
      <c r="N310" s="7"/>
      <c r="O310" s="6"/>
      <c r="P310" s="6"/>
      <c r="Q310" s="6"/>
      <c r="R310" s="6"/>
      <c r="S310" s="6"/>
      <c r="T310" s="6"/>
      <c r="U310" s="6"/>
      <c r="V310" s="6"/>
      <c r="W310" s="6"/>
      <c r="X310" s="6">
        <v>3055358</v>
      </c>
      <c r="Y310" s="6">
        <v>3294399</v>
      </c>
      <c r="Z310" s="6">
        <v>5690896</v>
      </c>
      <c r="AA310" s="6">
        <v>6483276</v>
      </c>
      <c r="AB310" s="6">
        <v>7990000</v>
      </c>
      <c r="AC310" s="6">
        <v>8007483</v>
      </c>
      <c r="AD310" s="6">
        <v>8232231</v>
      </c>
      <c r="AE310" s="6">
        <v>4598018</v>
      </c>
      <c r="AF310" s="6">
        <v>4188825</v>
      </c>
      <c r="AG310" s="6">
        <v>4619293</v>
      </c>
      <c r="AH310" s="6">
        <v>5327848</v>
      </c>
      <c r="AI310" s="6">
        <v>6016822</v>
      </c>
      <c r="AJ310" s="6">
        <v>6462422</v>
      </c>
      <c r="AK310" s="6">
        <v>7126023</v>
      </c>
      <c r="AL310" s="6">
        <v>8602836</v>
      </c>
      <c r="AM310" s="6">
        <v>8667374</v>
      </c>
      <c r="AN310" s="6">
        <v>8776250</v>
      </c>
      <c r="AO310" s="6">
        <v>8482409</v>
      </c>
      <c r="AP310" s="6">
        <v>8301405</v>
      </c>
      <c r="AQ310" s="6">
        <v>8027602</v>
      </c>
      <c r="AR310" s="6">
        <v>7837380</v>
      </c>
      <c r="AS310" s="6">
        <v>7654702</v>
      </c>
      <c r="AT310" s="6">
        <v>8218695</v>
      </c>
      <c r="AU310" s="6">
        <v>8217505</v>
      </c>
      <c r="AV310" s="6">
        <v>8304183</v>
      </c>
      <c r="AW310" s="6">
        <v>11287162</v>
      </c>
      <c r="AX310" s="6">
        <v>12047955</v>
      </c>
      <c r="AY310" s="6">
        <v>12767519</v>
      </c>
      <c r="AZ310" s="6">
        <v>13400284</v>
      </c>
      <c r="BA310" s="6">
        <v>14000008</v>
      </c>
      <c r="BB310" s="6">
        <v>10689170</v>
      </c>
      <c r="BC310" s="7">
        <v>10288495</v>
      </c>
      <c r="BD310" s="6">
        <v>7657270</v>
      </c>
      <c r="BE310" s="6">
        <v>16961518</v>
      </c>
      <c r="BF310" s="6">
        <v>20012910</v>
      </c>
      <c r="BG310" s="6">
        <v>0</v>
      </c>
      <c r="BH310" s="6"/>
      <c r="BI310" s="6"/>
      <c r="BJ310" s="6"/>
      <c r="BK310" s="6"/>
      <c r="BL310" s="6"/>
      <c r="BM310" s="6"/>
    </row>
    <row r="311" spans="1:65" ht="21" customHeight="1">
      <c r="A311" s="5"/>
      <c r="B311" s="5"/>
      <c r="C311" s="5" t="s">
        <v>72</v>
      </c>
      <c r="D311" s="5"/>
      <c r="E311" s="5"/>
      <c r="F311" s="5"/>
      <c r="G311" s="6"/>
      <c r="H311" s="6"/>
      <c r="I311" s="6"/>
      <c r="J311" s="6"/>
      <c r="K311" s="6"/>
      <c r="L311" s="6"/>
      <c r="M311" s="6"/>
      <c r="N311" s="7"/>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7"/>
      <c r="BD311" s="6"/>
      <c r="BE311" s="6"/>
      <c r="BF311" s="6"/>
      <c r="BG311" s="6"/>
      <c r="BH311" s="6"/>
      <c r="BI311" s="6"/>
      <c r="BJ311" s="6"/>
      <c r="BK311" s="6">
        <v>27982792</v>
      </c>
      <c r="BL311" s="6"/>
      <c r="BM311" s="6"/>
    </row>
    <row r="312" spans="1:65" ht="21" customHeight="1">
      <c r="A312" s="5"/>
      <c r="B312" s="5"/>
      <c r="C312" s="5" t="s">
        <v>339</v>
      </c>
      <c r="D312" s="5"/>
      <c r="E312" s="5"/>
      <c r="F312" s="5"/>
      <c r="G312" s="6"/>
      <c r="H312" s="6"/>
      <c r="I312" s="6"/>
      <c r="J312" s="6"/>
      <c r="K312" s="6"/>
      <c r="L312" s="6"/>
      <c r="M312" s="6"/>
      <c r="N312" s="7"/>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7"/>
      <c r="BD312" s="6"/>
      <c r="BE312" s="6"/>
      <c r="BF312" s="6"/>
      <c r="BG312" s="6"/>
      <c r="BH312" s="6"/>
      <c r="BI312" s="6"/>
      <c r="BJ312" s="6"/>
      <c r="BK312" s="6">
        <v>4547009</v>
      </c>
      <c r="BL312" s="6"/>
      <c r="BM312" s="6"/>
    </row>
    <row r="313" spans="1:65" ht="21" customHeight="1">
      <c r="A313" s="5"/>
      <c r="B313" s="5"/>
      <c r="C313" s="5" t="s">
        <v>73</v>
      </c>
      <c r="D313" s="5"/>
      <c r="E313" s="5"/>
      <c r="F313" s="5"/>
      <c r="G313" s="6"/>
      <c r="H313" s="6"/>
      <c r="I313" s="6"/>
      <c r="J313" s="6"/>
      <c r="K313" s="6"/>
      <c r="L313" s="6"/>
      <c r="M313" s="6"/>
      <c r="N313" s="7"/>
      <c r="O313" s="6"/>
      <c r="P313" s="6"/>
      <c r="Q313" s="6"/>
      <c r="R313" s="6"/>
      <c r="S313" s="6"/>
      <c r="T313" s="6"/>
      <c r="U313" s="6"/>
      <c r="V313" s="6"/>
      <c r="W313" s="6"/>
      <c r="X313" s="6">
        <v>0</v>
      </c>
      <c r="Y313" s="6">
        <v>904918</v>
      </c>
      <c r="Z313" s="6">
        <v>1108997</v>
      </c>
      <c r="AA313" s="6">
        <v>1233732</v>
      </c>
      <c r="AB313" s="6">
        <v>1360166</v>
      </c>
      <c r="AC313" s="6">
        <v>1390016</v>
      </c>
      <c r="AD313" s="6">
        <v>1240448</v>
      </c>
      <c r="AE313" s="6">
        <v>1419334</v>
      </c>
      <c r="AF313" s="6">
        <v>1800064</v>
      </c>
      <c r="AG313" s="6">
        <v>1941241</v>
      </c>
      <c r="AH313" s="6">
        <v>2053020</v>
      </c>
      <c r="AI313" s="6">
        <v>2215160</v>
      </c>
      <c r="AJ313" s="6">
        <v>2315617</v>
      </c>
      <c r="AK313" s="6">
        <v>2334274</v>
      </c>
      <c r="AL313" s="6">
        <v>2388716</v>
      </c>
      <c r="AM313" s="6">
        <v>2466532</v>
      </c>
      <c r="AN313" s="6">
        <v>2487540</v>
      </c>
      <c r="AO313" s="6">
        <v>2570393</v>
      </c>
      <c r="AP313" s="6">
        <v>2590404</v>
      </c>
      <c r="AQ313" s="6">
        <v>2667063</v>
      </c>
      <c r="AR313" s="6">
        <v>2713839</v>
      </c>
      <c r="AS313" s="6">
        <v>2799700</v>
      </c>
      <c r="AT313" s="6">
        <v>2871426</v>
      </c>
      <c r="AU313" s="6">
        <v>2951122</v>
      </c>
      <c r="AV313" s="6">
        <v>3090441</v>
      </c>
      <c r="AW313" s="6">
        <v>3270092</v>
      </c>
      <c r="AX313" s="6">
        <v>3337482</v>
      </c>
      <c r="AY313" s="6">
        <v>3354378</v>
      </c>
      <c r="AZ313" s="6">
        <v>3281340</v>
      </c>
      <c r="BA313" s="6">
        <v>2946769</v>
      </c>
      <c r="BB313" s="6">
        <v>2608203</v>
      </c>
      <c r="BC313" s="7">
        <v>2209156</v>
      </c>
      <c r="BD313" s="6">
        <v>1751359</v>
      </c>
      <c r="BE313" s="6">
        <v>1351993</v>
      </c>
      <c r="BF313" s="6">
        <v>829883</v>
      </c>
      <c r="BG313" s="6">
        <v>1892</v>
      </c>
      <c r="BH313" s="6">
        <v>1812</v>
      </c>
      <c r="BI313" s="6">
        <v>1407</v>
      </c>
      <c r="BJ313" s="6">
        <v>1377</v>
      </c>
      <c r="BK313" s="6">
        <v>1274</v>
      </c>
      <c r="BL313" s="6"/>
      <c r="BM313" s="6"/>
    </row>
    <row r="314" spans="1:65" ht="21" customHeight="1">
      <c r="A314" s="5"/>
      <c r="B314" s="5" t="s">
        <v>74</v>
      </c>
      <c r="C314" s="5"/>
      <c r="D314" s="5"/>
      <c r="E314" s="5"/>
      <c r="F314" s="5"/>
      <c r="G314" s="6"/>
      <c r="H314" s="6"/>
      <c r="I314" s="6"/>
      <c r="J314" s="6"/>
      <c r="K314" s="6"/>
      <c r="L314" s="6"/>
      <c r="M314" s="6"/>
      <c r="N314" s="7"/>
      <c r="O314" s="6"/>
      <c r="P314" s="6"/>
      <c r="Q314" s="6"/>
      <c r="R314" s="6"/>
      <c r="S314" s="6"/>
      <c r="T314" s="6"/>
      <c r="U314" s="6"/>
      <c r="V314" s="6"/>
      <c r="W314" s="6"/>
      <c r="X314" s="6">
        <v>5033055</v>
      </c>
      <c r="Y314" s="6">
        <v>5090502</v>
      </c>
      <c r="Z314" s="6">
        <f>5112670+2523900</f>
        <v>7636570</v>
      </c>
      <c r="AA314" s="6">
        <f>5397933+3154941</f>
        <v>8552874</v>
      </c>
      <c r="AB314" s="6">
        <f>6032507+3506190</f>
        <v>9538697</v>
      </c>
      <c r="AC314" s="6">
        <f>6014582+3926190</f>
        <v>9940772</v>
      </c>
      <c r="AD314" s="6">
        <f>6599748+4347319</f>
        <v>10947067</v>
      </c>
      <c r="AE314" s="6">
        <f>7190804+4908214</f>
        <v>12099018</v>
      </c>
      <c r="AF314" s="6">
        <f>7133453+5959265</f>
        <v>13092718</v>
      </c>
      <c r="AG314" s="6">
        <f>7875440+6660137</f>
        <v>14535577</v>
      </c>
      <c r="AH314" s="6">
        <f>8500275+7361047</f>
        <v>15861322</v>
      </c>
      <c r="AI314" s="6">
        <f>8752067+8061995</f>
        <v>16814062</v>
      </c>
      <c r="AJ314" s="6">
        <f>8627821+8692777</f>
        <v>17320598</v>
      </c>
      <c r="AK314" s="6">
        <f>8848155+9393657</f>
        <v>18241812</v>
      </c>
      <c r="AL314" s="6">
        <f>9109990+10164705</f>
        <v>19274695</v>
      </c>
      <c r="AM314" s="6">
        <f>8319479+10383773</f>
        <v>18703252</v>
      </c>
      <c r="AN314" s="6">
        <f>7855500+10593948</f>
        <v>18449448</v>
      </c>
      <c r="AO314" s="6">
        <v>18168781</v>
      </c>
      <c r="AP314" s="6">
        <v>17934511</v>
      </c>
      <c r="AQ314" s="6">
        <f>6231413+11218672</f>
        <v>17450085</v>
      </c>
      <c r="AR314" s="6">
        <f>8542364+10981663</f>
        <v>19524027</v>
      </c>
      <c r="AS314" s="6">
        <f>10638493+11185377</f>
        <v>21823870</v>
      </c>
      <c r="AT314" s="6">
        <v>22186351</v>
      </c>
      <c r="AU314" s="6">
        <v>20438207</v>
      </c>
      <c r="AV314" s="6">
        <v>18672765</v>
      </c>
      <c r="AW314" s="6">
        <f>6000820+10148732</f>
        <v>16149552</v>
      </c>
      <c r="AX314" s="6">
        <f>5441682+10351583</f>
        <v>15793265</v>
      </c>
      <c r="AY314" s="6">
        <f>5378004+10506389</f>
        <v>15884393</v>
      </c>
      <c r="AZ314" s="6">
        <f>5440061+10623828</f>
        <v>16063889</v>
      </c>
      <c r="BA314" s="6">
        <f>5778994+10416627</f>
        <v>16195621</v>
      </c>
      <c r="BB314" s="6">
        <f>4246625+10011053</f>
        <v>14257678</v>
      </c>
      <c r="BC314" s="7">
        <f>4209213+8949865</f>
        <v>13159078</v>
      </c>
      <c r="BD314" s="6">
        <f>2623707+8016335</f>
        <v>10640042</v>
      </c>
      <c r="BE314" s="6">
        <f>1750405+12549728</f>
        <v>14300133</v>
      </c>
      <c r="BF314" s="6"/>
      <c r="BG314" s="6"/>
      <c r="BH314" s="6"/>
      <c r="BI314" s="6"/>
      <c r="BJ314" s="6"/>
      <c r="BK314" s="6"/>
      <c r="BL314" s="6"/>
      <c r="BM314" s="6"/>
    </row>
    <row r="315" spans="1:65" ht="21" customHeight="1">
      <c r="A315" s="5"/>
      <c r="B315" s="5" t="s">
        <v>75</v>
      </c>
      <c r="C315" s="5"/>
      <c r="D315" s="5"/>
      <c r="E315" s="5"/>
      <c r="F315" s="5"/>
      <c r="G315" s="6"/>
      <c r="H315" s="6"/>
      <c r="I315" s="6"/>
      <c r="J315" s="6"/>
      <c r="K315" s="6"/>
      <c r="L315" s="6"/>
      <c r="M315" s="6"/>
      <c r="N315" s="7"/>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7"/>
      <c r="BD315" s="6"/>
      <c r="BE315" s="6"/>
      <c r="BF315" s="6">
        <f>1958403+16305379</f>
        <v>18263782</v>
      </c>
      <c r="BG315" s="6">
        <v>0</v>
      </c>
      <c r="BH315" s="6"/>
      <c r="BI315" s="6"/>
      <c r="BJ315" s="6"/>
      <c r="BK315" s="6"/>
      <c r="BL315" s="6"/>
      <c r="BM315" s="6"/>
    </row>
    <row r="316" spans="1:65" ht="21" customHeight="1">
      <c r="A316" s="5"/>
      <c r="B316" s="5" t="s">
        <v>76</v>
      </c>
      <c r="C316" s="5"/>
      <c r="D316" s="5"/>
      <c r="E316" s="5"/>
      <c r="F316" s="5"/>
      <c r="G316" s="21"/>
      <c r="H316" s="21"/>
      <c r="I316" s="21"/>
      <c r="J316" s="21"/>
      <c r="K316" s="21"/>
      <c r="L316" s="21"/>
      <c r="M316" s="21"/>
      <c r="N316" s="98"/>
      <c r="O316" s="21"/>
      <c r="P316" s="21"/>
      <c r="Q316" s="21"/>
      <c r="R316" s="21"/>
      <c r="S316" s="21"/>
      <c r="T316" s="21"/>
      <c r="U316" s="21"/>
      <c r="V316" s="21"/>
      <c r="W316" s="21"/>
      <c r="X316" s="21">
        <f aca="true" t="shared" si="34" ref="X316:BC316">SUM(X317:X319)</f>
        <v>50000</v>
      </c>
      <c r="Y316" s="21">
        <f t="shared" si="34"/>
        <v>1243210</v>
      </c>
      <c r="Z316" s="21">
        <f t="shared" si="34"/>
        <v>1320142</v>
      </c>
      <c r="AA316" s="21">
        <f t="shared" si="34"/>
        <v>1988200</v>
      </c>
      <c r="AB316" s="21">
        <f t="shared" si="34"/>
        <v>5200435</v>
      </c>
      <c r="AC316" s="21">
        <f t="shared" si="34"/>
        <v>5216556</v>
      </c>
      <c r="AD316" s="21">
        <f t="shared" si="34"/>
        <v>9421899</v>
      </c>
      <c r="AE316" s="21">
        <f t="shared" si="34"/>
        <v>10647156</v>
      </c>
      <c r="AF316" s="21">
        <f t="shared" si="34"/>
        <v>687188</v>
      </c>
      <c r="AG316" s="21">
        <f t="shared" si="34"/>
        <v>647403</v>
      </c>
      <c r="AH316" s="21">
        <f t="shared" si="34"/>
        <v>372002</v>
      </c>
      <c r="AI316" s="21">
        <f t="shared" si="34"/>
        <v>374274</v>
      </c>
      <c r="AJ316" s="21">
        <f t="shared" si="34"/>
        <v>389193</v>
      </c>
      <c r="AK316" s="21">
        <f t="shared" si="34"/>
        <v>308386</v>
      </c>
      <c r="AL316" s="21">
        <f t="shared" si="34"/>
        <v>306608</v>
      </c>
      <c r="AM316" s="21">
        <f t="shared" si="34"/>
        <v>302766</v>
      </c>
      <c r="AN316" s="21">
        <f t="shared" si="34"/>
        <v>272257</v>
      </c>
      <c r="AO316" s="21">
        <f t="shared" si="34"/>
        <v>261687</v>
      </c>
      <c r="AP316" s="21">
        <f t="shared" si="34"/>
        <v>258897</v>
      </c>
      <c r="AQ316" s="21">
        <f t="shared" si="34"/>
        <v>256234</v>
      </c>
      <c r="AR316" s="21">
        <f t="shared" si="34"/>
        <v>647462</v>
      </c>
      <c r="AS316" s="21">
        <f t="shared" si="34"/>
        <v>1615281</v>
      </c>
      <c r="AT316" s="21">
        <f t="shared" si="34"/>
        <v>2012480</v>
      </c>
      <c r="AU316" s="21">
        <f t="shared" si="34"/>
        <v>8599024</v>
      </c>
      <c r="AV316" s="21">
        <f t="shared" si="34"/>
        <v>29866940</v>
      </c>
      <c r="AW316" s="21">
        <f t="shared" si="34"/>
        <v>502940</v>
      </c>
      <c r="AX316" s="21">
        <f t="shared" si="34"/>
        <v>502910</v>
      </c>
      <c r="AY316" s="21">
        <f t="shared" si="34"/>
        <v>551337</v>
      </c>
      <c r="AZ316" s="21">
        <f t="shared" si="34"/>
        <v>558525</v>
      </c>
      <c r="BA316" s="21">
        <f t="shared" si="34"/>
        <v>571538</v>
      </c>
      <c r="BB316" s="21">
        <f t="shared" si="34"/>
        <v>464172</v>
      </c>
      <c r="BC316" s="98">
        <f t="shared" si="34"/>
        <v>1303047</v>
      </c>
      <c r="BD316" s="21">
        <f aca="true" t="shared" si="35" ref="BD316:BK316">SUM(BD317:BD319)</f>
        <v>1550441</v>
      </c>
      <c r="BE316" s="21">
        <f t="shared" si="35"/>
        <v>22454298</v>
      </c>
      <c r="BF316" s="21">
        <f t="shared" si="35"/>
        <v>43805831</v>
      </c>
      <c r="BG316" s="21">
        <f t="shared" si="35"/>
        <v>8355730</v>
      </c>
      <c r="BH316" s="21">
        <f t="shared" si="35"/>
        <v>23863706</v>
      </c>
      <c r="BI316" s="21">
        <f t="shared" si="35"/>
        <v>54076754</v>
      </c>
      <c r="BJ316" s="21">
        <f t="shared" si="35"/>
        <v>51152984</v>
      </c>
      <c r="BK316" s="21">
        <f t="shared" si="35"/>
        <v>10224968</v>
      </c>
      <c r="BL316" s="21"/>
      <c r="BM316" s="21"/>
    </row>
    <row r="317" spans="1:65" ht="21" customHeight="1">
      <c r="A317" s="83"/>
      <c r="B317" s="83"/>
      <c r="C317" s="83" t="s">
        <v>77</v>
      </c>
      <c r="D317" s="83"/>
      <c r="E317" s="83"/>
      <c r="F317" s="83"/>
      <c r="G317" s="6"/>
      <c r="H317" s="6"/>
      <c r="I317" s="6"/>
      <c r="J317" s="6"/>
      <c r="K317" s="6"/>
      <c r="L317" s="6"/>
      <c r="M317" s="6"/>
      <c r="N317" s="7"/>
      <c r="O317" s="6"/>
      <c r="P317" s="6"/>
      <c r="Q317" s="6"/>
      <c r="R317" s="6"/>
      <c r="S317" s="6"/>
      <c r="T317" s="6"/>
      <c r="U317" s="6"/>
      <c r="V317" s="6"/>
      <c r="W317" s="6"/>
      <c r="X317" s="6">
        <v>0</v>
      </c>
      <c r="Y317" s="6">
        <v>100</v>
      </c>
      <c r="Z317" s="6">
        <v>100</v>
      </c>
      <c r="AA317" s="6">
        <v>100</v>
      </c>
      <c r="AB317" s="6">
        <v>100</v>
      </c>
      <c r="AC317" s="6">
        <v>100</v>
      </c>
      <c r="AD317" s="6">
        <v>100</v>
      </c>
      <c r="AE317" s="6">
        <v>100</v>
      </c>
      <c r="AF317" s="6">
        <v>100</v>
      </c>
      <c r="AG317" s="6">
        <v>100</v>
      </c>
      <c r="AH317" s="6">
        <v>100</v>
      </c>
      <c r="AI317" s="63">
        <v>100</v>
      </c>
      <c r="AJ317" s="63">
        <v>100</v>
      </c>
      <c r="AK317" s="63">
        <v>100</v>
      </c>
      <c r="AL317" s="63">
        <v>100</v>
      </c>
      <c r="AM317" s="63">
        <v>100</v>
      </c>
      <c r="AN317" s="63">
        <v>100</v>
      </c>
      <c r="AO317" s="63">
        <v>100</v>
      </c>
      <c r="AP317" s="63">
        <v>100</v>
      </c>
      <c r="AQ317" s="63">
        <v>100</v>
      </c>
      <c r="AR317" s="63">
        <v>100</v>
      </c>
      <c r="AS317" s="63">
        <v>100</v>
      </c>
      <c r="AT317" s="63">
        <v>100</v>
      </c>
      <c r="AU317" s="63">
        <v>100</v>
      </c>
      <c r="AV317" s="63">
        <v>100</v>
      </c>
      <c r="AW317" s="63">
        <v>100</v>
      </c>
      <c r="AX317" s="63">
        <v>100</v>
      </c>
      <c r="AY317" s="63">
        <v>100</v>
      </c>
      <c r="AZ317" s="63">
        <v>100</v>
      </c>
      <c r="BA317" s="63">
        <v>100</v>
      </c>
      <c r="BB317" s="63">
        <v>100</v>
      </c>
      <c r="BC317" s="84">
        <v>100</v>
      </c>
      <c r="BD317" s="63">
        <v>100</v>
      </c>
      <c r="BE317" s="63">
        <v>100</v>
      </c>
      <c r="BF317" s="63">
        <v>100</v>
      </c>
      <c r="BG317" s="63">
        <v>100</v>
      </c>
      <c r="BH317" s="63">
        <v>100</v>
      </c>
      <c r="BI317" s="63">
        <v>100</v>
      </c>
      <c r="BJ317" s="63">
        <v>100</v>
      </c>
      <c r="BK317" s="63">
        <v>100</v>
      </c>
      <c r="BL317" s="63"/>
      <c r="BM317" s="63"/>
    </row>
    <row r="318" spans="1:65" ht="21" customHeight="1">
      <c r="A318" s="83"/>
      <c r="B318" s="83"/>
      <c r="C318" s="81" t="s">
        <v>334</v>
      </c>
      <c r="D318" s="82"/>
      <c r="E318" s="82"/>
      <c r="F318" s="82"/>
      <c r="G318" s="6"/>
      <c r="H318" s="6"/>
      <c r="I318" s="6"/>
      <c r="J318" s="6"/>
      <c r="K318" s="6"/>
      <c r="L318" s="6"/>
      <c r="M318" s="6"/>
      <c r="N318" s="7"/>
      <c r="O318" s="6"/>
      <c r="P318" s="6"/>
      <c r="Q318" s="6"/>
      <c r="R318" s="6"/>
      <c r="S318" s="6"/>
      <c r="T318" s="6"/>
      <c r="U318" s="6"/>
      <c r="V318" s="6"/>
      <c r="W318" s="6"/>
      <c r="X318" s="6"/>
      <c r="Y318" s="6">
        <v>0</v>
      </c>
      <c r="Z318" s="6">
        <v>20042</v>
      </c>
      <c r="AA318" s="6">
        <v>688100</v>
      </c>
      <c r="AB318" s="6">
        <v>1700335</v>
      </c>
      <c r="AC318" s="6">
        <v>5016456</v>
      </c>
      <c r="AD318" s="6">
        <v>9221799</v>
      </c>
      <c r="AE318" s="6">
        <v>10447056</v>
      </c>
      <c r="AF318" s="6">
        <v>487088</v>
      </c>
      <c r="AG318" s="6">
        <v>447303</v>
      </c>
      <c r="AH318" s="6">
        <v>171902</v>
      </c>
      <c r="AI318" s="63">
        <v>174174</v>
      </c>
      <c r="AJ318" s="63">
        <v>189093</v>
      </c>
      <c r="AK318" s="63">
        <v>108286</v>
      </c>
      <c r="AL318" s="63">
        <v>106508</v>
      </c>
      <c r="AM318" s="63">
        <v>102666</v>
      </c>
      <c r="AN318" s="63">
        <v>72157</v>
      </c>
      <c r="AO318" s="63">
        <v>61587</v>
      </c>
      <c r="AP318" s="63">
        <v>58797</v>
      </c>
      <c r="AQ318" s="63">
        <v>56134</v>
      </c>
      <c r="AR318" s="63">
        <v>447362</v>
      </c>
      <c r="AS318" s="63">
        <v>1415181</v>
      </c>
      <c r="AT318" s="63">
        <v>1812380</v>
      </c>
      <c r="AU318" s="63">
        <v>8398924</v>
      </c>
      <c r="AV318" s="63">
        <v>29604840</v>
      </c>
      <c r="AW318" s="63">
        <v>302840</v>
      </c>
      <c r="AX318" s="63">
        <v>302810</v>
      </c>
      <c r="AY318" s="63">
        <v>351237</v>
      </c>
      <c r="AZ318" s="63">
        <v>358425</v>
      </c>
      <c r="BA318" s="63">
        <v>371438</v>
      </c>
      <c r="BB318" s="63">
        <v>264072</v>
      </c>
      <c r="BC318" s="84">
        <v>1102947</v>
      </c>
      <c r="BD318" s="63">
        <v>1350341</v>
      </c>
      <c r="BE318" s="63">
        <v>22354198</v>
      </c>
      <c r="BF318" s="63">
        <v>37305731</v>
      </c>
      <c r="BG318" s="63">
        <v>8355630</v>
      </c>
      <c r="BH318" s="63">
        <v>23863606</v>
      </c>
      <c r="BI318" s="63">
        <v>54076654</v>
      </c>
      <c r="BJ318" s="63">
        <v>51152884</v>
      </c>
      <c r="BK318" s="63">
        <v>10224868</v>
      </c>
      <c r="BL318" s="63"/>
      <c r="BM318" s="63"/>
    </row>
    <row r="319" spans="1:65" ht="21" customHeight="1">
      <c r="A319" s="83"/>
      <c r="B319" s="83"/>
      <c r="C319" s="83" t="s">
        <v>335</v>
      </c>
      <c r="D319" s="83"/>
      <c r="E319" s="83"/>
      <c r="F319" s="83"/>
      <c r="G319" s="6"/>
      <c r="H319" s="6"/>
      <c r="I319" s="6"/>
      <c r="J319" s="6"/>
      <c r="K319" s="6"/>
      <c r="L319" s="6"/>
      <c r="M319" s="6"/>
      <c r="N319" s="7"/>
      <c r="O319" s="6"/>
      <c r="P319" s="6"/>
      <c r="Q319" s="6"/>
      <c r="R319" s="6"/>
      <c r="S319" s="6"/>
      <c r="T319" s="6"/>
      <c r="U319" s="6"/>
      <c r="V319" s="6"/>
      <c r="W319" s="6"/>
      <c r="X319" s="6">
        <v>50000</v>
      </c>
      <c r="Y319" s="6">
        <v>1243110</v>
      </c>
      <c r="Z319" s="6">
        <v>1300000</v>
      </c>
      <c r="AA319" s="6">
        <v>1300000</v>
      </c>
      <c r="AB319" s="6">
        <v>3500000</v>
      </c>
      <c r="AC319" s="6">
        <v>200000</v>
      </c>
      <c r="AD319" s="6">
        <v>200000</v>
      </c>
      <c r="AE319" s="6">
        <v>200000</v>
      </c>
      <c r="AF319" s="6">
        <v>200000</v>
      </c>
      <c r="AG319" s="6">
        <v>200000</v>
      </c>
      <c r="AH319" s="6">
        <v>200000</v>
      </c>
      <c r="AI319" s="63">
        <v>200000</v>
      </c>
      <c r="AJ319" s="63">
        <v>200000</v>
      </c>
      <c r="AK319" s="63">
        <v>200000</v>
      </c>
      <c r="AL319" s="63">
        <v>200000</v>
      </c>
      <c r="AM319" s="63">
        <v>200000</v>
      </c>
      <c r="AN319" s="63">
        <v>200000</v>
      </c>
      <c r="AO319" s="63">
        <v>200000</v>
      </c>
      <c r="AP319" s="63">
        <v>200000</v>
      </c>
      <c r="AQ319" s="63">
        <v>200000</v>
      </c>
      <c r="AR319" s="63">
        <v>200000</v>
      </c>
      <c r="AS319" s="63">
        <v>200000</v>
      </c>
      <c r="AT319" s="63">
        <v>200000</v>
      </c>
      <c r="AU319" s="63">
        <v>200000</v>
      </c>
      <c r="AV319" s="63">
        <v>262000</v>
      </c>
      <c r="AW319" s="63">
        <v>200000</v>
      </c>
      <c r="AX319" s="63">
        <v>200000</v>
      </c>
      <c r="AY319" s="63">
        <v>200000</v>
      </c>
      <c r="AZ319" s="63">
        <v>200000</v>
      </c>
      <c r="BA319" s="63">
        <v>200000</v>
      </c>
      <c r="BB319" s="63">
        <v>200000</v>
      </c>
      <c r="BC319" s="84">
        <v>200000</v>
      </c>
      <c r="BD319" s="63">
        <v>200000</v>
      </c>
      <c r="BE319" s="63">
        <v>100000</v>
      </c>
      <c r="BF319" s="63">
        <v>6500000</v>
      </c>
      <c r="BG319" s="63">
        <v>0</v>
      </c>
      <c r="BH319" s="63"/>
      <c r="BI319" s="63"/>
      <c r="BJ319" s="63"/>
      <c r="BK319" s="63"/>
      <c r="BL319" s="63"/>
      <c r="BM319" s="63"/>
    </row>
    <row r="320" spans="1:65" ht="21" customHeight="1">
      <c r="A320" s="5"/>
      <c r="B320" s="5"/>
      <c r="C320" s="5"/>
      <c r="D320" s="5"/>
      <c r="E320" s="5"/>
      <c r="F320" s="5"/>
      <c r="G320" s="6"/>
      <c r="H320" s="6"/>
      <c r="I320" s="6"/>
      <c r="J320" s="6"/>
      <c r="K320" s="6"/>
      <c r="L320" s="6"/>
      <c r="M320" s="6"/>
      <c r="N320" s="7"/>
      <c r="O320" s="6"/>
      <c r="P320" s="6"/>
      <c r="Q320" s="6"/>
      <c r="R320" s="6"/>
      <c r="S320" s="6"/>
      <c r="T320" s="6"/>
      <c r="U320" s="6"/>
      <c r="V320" s="6"/>
      <c r="W320" s="6"/>
      <c r="X320" s="6"/>
      <c r="Y320" s="6"/>
      <c r="Z320" s="6"/>
      <c r="AA320" s="6"/>
      <c r="AB320" s="6"/>
      <c r="AC320" s="6"/>
      <c r="AD320" s="6"/>
      <c r="AE320" s="6"/>
      <c r="AF320" s="6"/>
      <c r="AG320" s="6"/>
      <c r="AH320" s="6"/>
      <c r="AI320" s="6"/>
      <c r="AJ320" s="6"/>
      <c r="AK320" s="6"/>
      <c r="AL320" s="5"/>
      <c r="AM320" s="5"/>
      <c r="AN320" s="5"/>
      <c r="AO320" s="5"/>
      <c r="AP320" s="5"/>
      <c r="AQ320" s="5"/>
      <c r="AR320" s="5"/>
      <c r="AS320" s="6"/>
      <c r="AT320" s="6"/>
      <c r="AU320" s="6"/>
      <c r="AV320" s="6"/>
      <c r="AW320" s="6"/>
      <c r="AX320" s="6"/>
      <c r="AY320" s="6"/>
      <c r="AZ320" s="6"/>
      <c r="BA320" s="6"/>
      <c r="BB320" s="6"/>
      <c r="BC320" s="7"/>
      <c r="BD320" s="6"/>
      <c r="BE320" s="6"/>
      <c r="BF320" s="6"/>
      <c r="BG320" s="6"/>
      <c r="BH320" s="6"/>
      <c r="BI320" s="6"/>
      <c r="BJ320" s="6"/>
      <c r="BK320" s="6"/>
      <c r="BL320" s="6"/>
      <c r="BM320" s="6"/>
    </row>
    <row r="321" spans="1:65" ht="21" customHeight="1">
      <c r="A321" s="5" t="s">
        <v>78</v>
      </c>
      <c r="B321" s="5"/>
      <c r="C321" s="5"/>
      <c r="D321" s="5"/>
      <c r="E321" s="5"/>
      <c r="F321" s="5"/>
      <c r="G321" s="6"/>
      <c r="H321" s="6"/>
      <c r="I321" s="6"/>
      <c r="J321" s="6"/>
      <c r="K321" s="6"/>
      <c r="L321" s="6"/>
      <c r="M321" s="6"/>
      <c r="N321" s="7"/>
      <c r="O321" s="6"/>
      <c r="P321" s="6"/>
      <c r="Q321" s="6"/>
      <c r="R321" s="6"/>
      <c r="S321" s="6"/>
      <c r="T321" s="6"/>
      <c r="U321" s="6"/>
      <c r="V321" s="6"/>
      <c r="W321" s="6"/>
      <c r="X321" s="6"/>
      <c r="Y321" s="6"/>
      <c r="Z321" s="6"/>
      <c r="AA321" s="6"/>
      <c r="AB321" s="6"/>
      <c r="AC321" s="6"/>
      <c r="AD321" s="6"/>
      <c r="AE321" s="6"/>
      <c r="AF321" s="6"/>
      <c r="AG321" s="6"/>
      <c r="AH321" s="6"/>
      <c r="AI321" s="6"/>
      <c r="AJ321" s="6"/>
      <c r="AK321" s="6"/>
      <c r="AL321" s="5"/>
      <c r="AM321" s="5"/>
      <c r="AN321" s="5"/>
      <c r="AO321" s="5"/>
      <c r="AP321" s="5"/>
      <c r="AQ321" s="5"/>
      <c r="AR321" s="5"/>
      <c r="AS321" s="6"/>
      <c r="AT321" s="6"/>
      <c r="AU321" s="6"/>
      <c r="AV321" s="6"/>
      <c r="AW321" s="6"/>
      <c r="AX321" s="6"/>
      <c r="AY321" s="6"/>
      <c r="AZ321" s="6"/>
      <c r="BA321" s="6"/>
      <c r="BB321" s="6"/>
      <c r="BC321" s="7"/>
      <c r="BD321" s="6"/>
      <c r="BE321" s="6"/>
      <c r="BF321" s="6"/>
      <c r="BG321" s="6"/>
      <c r="BH321" s="6"/>
      <c r="BI321" s="6"/>
      <c r="BJ321" s="6"/>
      <c r="BK321" s="6"/>
      <c r="BL321" s="6"/>
      <c r="BM321" s="6"/>
    </row>
    <row r="322" spans="1:65" ht="21" customHeight="1">
      <c r="A322" s="26" t="s">
        <v>79</v>
      </c>
      <c r="B322" s="26"/>
      <c r="C322" s="26"/>
      <c r="D322" s="26"/>
      <c r="E322" s="26"/>
      <c r="F322" s="26"/>
      <c r="G322" s="6"/>
      <c r="H322" s="6"/>
      <c r="I322" s="6"/>
      <c r="J322" s="6"/>
      <c r="K322" s="6"/>
      <c r="L322" s="6"/>
      <c r="M322" s="6"/>
      <c r="N322" s="7"/>
      <c r="O322" s="6"/>
      <c r="P322" s="6"/>
      <c r="Q322" s="6"/>
      <c r="R322" s="6"/>
      <c r="S322" s="6"/>
      <c r="T322" s="6"/>
      <c r="U322" s="6"/>
      <c r="V322" s="6"/>
      <c r="W322" s="6"/>
      <c r="X322" s="6"/>
      <c r="Y322" s="6"/>
      <c r="Z322" s="6"/>
      <c r="AA322" s="6"/>
      <c r="AB322" s="6"/>
      <c r="AC322" s="6"/>
      <c r="AD322" s="6"/>
      <c r="AE322" s="6"/>
      <c r="AF322" s="6"/>
      <c r="AG322" s="6"/>
      <c r="AH322" s="6"/>
      <c r="AI322" s="6"/>
      <c r="AJ322" s="6"/>
      <c r="AK322" s="6"/>
      <c r="AL322" s="5"/>
      <c r="AM322" s="5"/>
      <c r="AN322" s="5"/>
      <c r="AO322" s="5"/>
      <c r="AP322" s="5"/>
      <c r="AQ322" s="5"/>
      <c r="AR322" s="5"/>
      <c r="AS322" s="6"/>
      <c r="AT322" s="6"/>
      <c r="AU322" s="6"/>
      <c r="AV322" s="6"/>
      <c r="AW322" s="6"/>
      <c r="AX322" s="6"/>
      <c r="AY322" s="6"/>
      <c r="AZ322" s="6"/>
      <c r="BA322" s="6"/>
      <c r="BB322" s="6"/>
      <c r="BC322" s="7"/>
      <c r="BD322" s="6"/>
      <c r="BE322" s="6"/>
      <c r="BF322" s="6"/>
      <c r="BG322" s="6"/>
      <c r="BH322" s="6"/>
      <c r="BI322" s="6"/>
      <c r="BJ322" s="6"/>
      <c r="BK322" s="6"/>
      <c r="BL322" s="6"/>
      <c r="BM322" s="6"/>
    </row>
    <row r="323" spans="1:65" ht="21" customHeight="1">
      <c r="A323" s="5"/>
      <c r="B323" s="5" t="s">
        <v>332</v>
      </c>
      <c r="C323" s="5"/>
      <c r="D323" s="5"/>
      <c r="E323" s="5"/>
      <c r="F323" s="5"/>
      <c r="G323" s="9"/>
      <c r="H323" s="9"/>
      <c r="I323" s="9"/>
      <c r="J323" s="9"/>
      <c r="K323" s="9"/>
      <c r="L323" s="9"/>
      <c r="M323" s="9"/>
      <c r="N323" s="10"/>
      <c r="O323" s="9"/>
      <c r="P323" s="9"/>
      <c r="Q323" s="9"/>
      <c r="R323" s="9"/>
      <c r="S323" s="9"/>
      <c r="T323" s="9"/>
      <c r="U323" s="9"/>
      <c r="V323" s="9"/>
      <c r="W323" s="9"/>
      <c r="X323" s="9"/>
      <c r="Y323" s="9"/>
      <c r="Z323" s="9"/>
      <c r="AA323" s="9">
        <f aca="true" t="shared" si="36" ref="AA323:BM323">SUM(AA324:AA336)</f>
        <v>0</v>
      </c>
      <c r="AB323" s="9">
        <f t="shared" si="36"/>
        <v>0</v>
      </c>
      <c r="AC323" s="9">
        <f t="shared" si="36"/>
        <v>25801000</v>
      </c>
      <c r="AD323" s="9">
        <f t="shared" si="36"/>
        <v>26402000</v>
      </c>
      <c r="AE323" s="9">
        <f t="shared" si="36"/>
        <v>33654000</v>
      </c>
      <c r="AF323" s="9">
        <f t="shared" si="36"/>
        <v>47845000</v>
      </c>
      <c r="AG323" s="9">
        <f t="shared" si="36"/>
        <v>40848000</v>
      </c>
      <c r="AH323" s="9">
        <f t="shared" si="36"/>
        <v>68140000</v>
      </c>
      <c r="AI323" s="9">
        <f t="shared" si="36"/>
        <v>165700000</v>
      </c>
      <c r="AJ323" s="9">
        <f t="shared" si="36"/>
        <v>196930000</v>
      </c>
      <c r="AK323" s="9">
        <f t="shared" si="36"/>
        <v>283335000</v>
      </c>
      <c r="AL323" s="9">
        <f t="shared" si="36"/>
        <v>361301000</v>
      </c>
      <c r="AM323" s="9">
        <f t="shared" si="36"/>
        <v>407301000</v>
      </c>
      <c r="AN323" s="9">
        <f t="shared" si="36"/>
        <v>447143812</v>
      </c>
      <c r="AO323" s="9">
        <f t="shared" si="36"/>
        <v>448981532</v>
      </c>
      <c r="AP323" s="9">
        <f t="shared" si="36"/>
        <v>472405776</v>
      </c>
      <c r="AQ323" s="9">
        <f t="shared" si="36"/>
        <v>484362828</v>
      </c>
      <c r="AR323" s="9">
        <f t="shared" si="36"/>
        <v>371478144</v>
      </c>
      <c r="AS323" s="9">
        <f t="shared" si="36"/>
        <v>357637298</v>
      </c>
      <c r="AT323" s="9">
        <f t="shared" si="36"/>
        <v>440840044</v>
      </c>
      <c r="AU323" s="9">
        <f t="shared" si="36"/>
        <v>472267947</v>
      </c>
      <c r="AV323" s="9">
        <f t="shared" si="36"/>
        <v>497016998</v>
      </c>
      <c r="AW323" s="9">
        <f t="shared" si="36"/>
        <v>535439510</v>
      </c>
      <c r="AX323" s="9">
        <f t="shared" si="36"/>
        <v>565565888</v>
      </c>
      <c r="AY323" s="9">
        <f t="shared" si="36"/>
        <v>576046639</v>
      </c>
      <c r="AZ323" s="9">
        <f t="shared" si="36"/>
        <v>591421489</v>
      </c>
      <c r="BA323" s="9">
        <f t="shared" si="36"/>
        <v>613180662</v>
      </c>
      <c r="BB323" s="9">
        <f t="shared" si="36"/>
        <v>626781362</v>
      </c>
      <c r="BC323" s="10">
        <f t="shared" si="36"/>
        <v>632714077</v>
      </c>
      <c r="BD323" s="9">
        <f t="shared" si="36"/>
        <v>629478090</v>
      </c>
      <c r="BE323" s="9">
        <f t="shared" si="36"/>
        <v>606062678</v>
      </c>
      <c r="BF323" s="96">
        <f t="shared" si="36"/>
        <v>629802509</v>
      </c>
      <c r="BG323" s="96">
        <f t="shared" si="36"/>
        <v>619463649</v>
      </c>
      <c r="BH323" s="96">
        <f t="shared" si="36"/>
        <v>1546910213</v>
      </c>
      <c r="BI323" s="96">
        <f t="shared" si="36"/>
        <v>1932576849</v>
      </c>
      <c r="BJ323" s="96">
        <f t="shared" si="36"/>
        <v>2347410177</v>
      </c>
      <c r="BK323" s="96">
        <f t="shared" si="36"/>
        <v>2126478272</v>
      </c>
      <c r="BL323" s="96">
        <f t="shared" si="36"/>
        <v>2274105472</v>
      </c>
      <c r="BM323" s="96">
        <f t="shared" si="36"/>
        <v>2206601066</v>
      </c>
    </row>
    <row r="324" spans="1:65" ht="21" customHeight="1">
      <c r="A324" s="5"/>
      <c r="B324" s="5"/>
      <c r="C324" s="5" t="s">
        <v>80</v>
      </c>
      <c r="D324" s="5"/>
      <c r="E324" s="5"/>
      <c r="F324" s="5"/>
      <c r="G324" s="6"/>
      <c r="H324" s="6"/>
      <c r="I324" s="6"/>
      <c r="J324" s="6"/>
      <c r="K324" s="6"/>
      <c r="L324" s="6"/>
      <c r="M324" s="6"/>
      <c r="N324" s="7"/>
      <c r="O324" s="6"/>
      <c r="P324" s="6"/>
      <c r="Q324" s="6"/>
      <c r="R324" s="6"/>
      <c r="S324" s="6"/>
      <c r="T324" s="6"/>
      <c r="U324" s="6"/>
      <c r="V324" s="6"/>
      <c r="W324" s="6"/>
      <c r="X324" s="6"/>
      <c r="Y324" s="6"/>
      <c r="Z324" s="6"/>
      <c r="AA324" s="6"/>
      <c r="AB324" s="6"/>
      <c r="AC324" s="6">
        <v>24595749</v>
      </c>
      <c r="AD324" s="6">
        <v>25823870</v>
      </c>
      <c r="AE324" s="6">
        <v>32773232</v>
      </c>
      <c r="AF324" s="6">
        <v>46736859</v>
      </c>
      <c r="AG324" s="6">
        <v>39717677</v>
      </c>
      <c r="AH324" s="6">
        <v>67219126</v>
      </c>
      <c r="AI324" s="6">
        <v>164349627</v>
      </c>
      <c r="AJ324" s="6">
        <v>185137288</v>
      </c>
      <c r="AK324" s="6">
        <v>228874419</v>
      </c>
      <c r="AL324" s="6">
        <v>288101903</v>
      </c>
      <c r="AM324" s="6">
        <v>334210038</v>
      </c>
      <c r="AN324" s="6">
        <v>372426556</v>
      </c>
      <c r="AO324" s="6">
        <v>376920584</v>
      </c>
      <c r="AP324" s="6">
        <v>395089838</v>
      </c>
      <c r="AQ324" s="6">
        <v>404399209</v>
      </c>
      <c r="AR324" s="6">
        <v>305579867</v>
      </c>
      <c r="AS324" s="6">
        <v>306907973</v>
      </c>
      <c r="AT324" s="6">
        <v>384199960</v>
      </c>
      <c r="AU324" s="6">
        <v>403478643</v>
      </c>
      <c r="AV324" s="6">
        <v>421859181</v>
      </c>
      <c r="AW324" s="6">
        <v>451569896</v>
      </c>
      <c r="AX324" s="6">
        <v>445002808</v>
      </c>
      <c r="AY324" s="6">
        <v>452954339</v>
      </c>
      <c r="AZ324" s="6">
        <v>457003741</v>
      </c>
      <c r="BA324" s="6">
        <v>471311375</v>
      </c>
      <c r="BB324" s="6">
        <v>458792300</v>
      </c>
      <c r="BC324" s="7">
        <v>447746033</v>
      </c>
      <c r="BD324" s="6">
        <v>431914481</v>
      </c>
      <c r="BE324" s="6">
        <v>397851169</v>
      </c>
      <c r="BF324" s="24">
        <v>399467476</v>
      </c>
      <c r="BG324" s="24">
        <v>349595182</v>
      </c>
      <c r="BH324" s="24">
        <v>370511260</v>
      </c>
      <c r="BI324" s="24">
        <v>266996437</v>
      </c>
      <c r="BJ324" s="24">
        <v>276109503</v>
      </c>
      <c r="BK324" s="24">
        <v>312768433</v>
      </c>
      <c r="BL324" s="24"/>
      <c r="BM324" s="24"/>
    </row>
    <row r="325" spans="1:65" ht="21" customHeight="1">
      <c r="A325" s="5"/>
      <c r="B325" s="5"/>
      <c r="C325" s="5" t="s">
        <v>81</v>
      </c>
      <c r="D325" s="5"/>
      <c r="E325" s="5"/>
      <c r="F325" s="5"/>
      <c r="G325" s="6"/>
      <c r="H325" s="6"/>
      <c r="I325" s="6"/>
      <c r="J325" s="6"/>
      <c r="K325" s="6"/>
      <c r="L325" s="6"/>
      <c r="M325" s="6"/>
      <c r="N325" s="7"/>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7"/>
      <c r="BD325" s="6"/>
      <c r="BE325" s="6"/>
      <c r="BF325" s="6"/>
      <c r="BG325" s="6"/>
      <c r="BH325" s="6"/>
      <c r="BI325" s="6"/>
      <c r="BJ325" s="6"/>
      <c r="BK325" s="6"/>
      <c r="BL325" s="6">
        <v>397643435</v>
      </c>
      <c r="BM325" s="6">
        <v>284594857</v>
      </c>
    </row>
    <row r="326" spans="1:65" ht="21" customHeight="1">
      <c r="A326" s="5"/>
      <c r="B326" s="5"/>
      <c r="C326" s="5" t="s">
        <v>82</v>
      </c>
      <c r="D326" s="5"/>
      <c r="E326" s="5"/>
      <c r="F326" s="54"/>
      <c r="G326" s="6"/>
      <c r="H326" s="6"/>
      <c r="I326" s="6"/>
      <c r="J326" s="6"/>
      <c r="K326" s="6"/>
      <c r="L326" s="6"/>
      <c r="M326" s="6"/>
      <c r="N326" s="7"/>
      <c r="O326" s="6"/>
      <c r="P326" s="6"/>
      <c r="Q326" s="6"/>
      <c r="R326" s="6"/>
      <c r="S326" s="6"/>
      <c r="T326" s="6"/>
      <c r="U326" s="6"/>
      <c r="V326" s="6"/>
      <c r="W326" s="6"/>
      <c r="X326" s="6"/>
      <c r="Y326" s="6"/>
      <c r="Z326" s="6"/>
      <c r="AA326" s="6"/>
      <c r="AB326" s="6"/>
      <c r="AC326" s="6">
        <v>777616</v>
      </c>
      <c r="AD326" s="6">
        <v>167348</v>
      </c>
      <c r="AE326" s="6">
        <v>479069</v>
      </c>
      <c r="AF326" s="6">
        <v>293771</v>
      </c>
      <c r="AG326" s="6">
        <v>285560</v>
      </c>
      <c r="AH326" s="6">
        <v>345324</v>
      </c>
      <c r="AI326" s="6">
        <v>637722</v>
      </c>
      <c r="AJ326" s="13">
        <f>8552082</f>
        <v>8552082</v>
      </c>
      <c r="AK326" s="13">
        <v>16240389</v>
      </c>
      <c r="AL326" s="6">
        <v>14189632</v>
      </c>
      <c r="AM326" s="6">
        <v>15984205</v>
      </c>
      <c r="AN326" s="6">
        <v>15580120</v>
      </c>
      <c r="AO326" s="6">
        <v>15644940</v>
      </c>
      <c r="AP326" s="6">
        <v>17063167</v>
      </c>
      <c r="AQ326" s="6">
        <v>18822759</v>
      </c>
      <c r="AR326" s="6">
        <v>20036069</v>
      </c>
      <c r="AS326" s="6">
        <v>18966674</v>
      </c>
      <c r="AT326" s="6">
        <v>22154277</v>
      </c>
      <c r="AU326" s="6">
        <v>31030832</v>
      </c>
      <c r="AV326" s="6">
        <v>34124522</v>
      </c>
      <c r="AW326" s="6">
        <v>40148102</v>
      </c>
      <c r="AX326" s="6">
        <v>29581856</v>
      </c>
      <c r="AY326" s="6">
        <v>26111795</v>
      </c>
      <c r="AZ326" s="6">
        <v>29999452</v>
      </c>
      <c r="BA326" s="6">
        <v>29464217</v>
      </c>
      <c r="BB326" s="6">
        <v>43889714</v>
      </c>
      <c r="BC326" s="7">
        <v>36898517</v>
      </c>
      <c r="BD326" s="6">
        <v>43271555</v>
      </c>
      <c r="BE326" s="6">
        <v>55636962</v>
      </c>
      <c r="BF326" s="6">
        <v>54528819</v>
      </c>
      <c r="BG326" s="6">
        <v>53663430</v>
      </c>
      <c r="BH326" s="6">
        <v>49962464</v>
      </c>
      <c r="BI326" s="6">
        <v>47164491</v>
      </c>
      <c r="BJ326" s="6">
        <v>47104675</v>
      </c>
      <c r="BK326" s="6">
        <v>36440269</v>
      </c>
      <c r="BL326" s="6"/>
      <c r="BM326" s="6"/>
    </row>
    <row r="327" spans="1:65" ht="21" customHeight="1">
      <c r="A327" s="5"/>
      <c r="B327" s="5"/>
      <c r="C327" s="5" t="s">
        <v>83</v>
      </c>
      <c r="D327" s="5"/>
      <c r="E327" s="5"/>
      <c r="F327" s="5"/>
      <c r="G327" s="6"/>
      <c r="H327" s="6"/>
      <c r="I327" s="6"/>
      <c r="J327" s="6"/>
      <c r="K327" s="6"/>
      <c r="L327" s="6"/>
      <c r="M327" s="6"/>
      <c r="N327" s="7"/>
      <c r="O327" s="6"/>
      <c r="P327" s="6"/>
      <c r="Q327" s="6"/>
      <c r="R327" s="6"/>
      <c r="S327" s="6"/>
      <c r="T327" s="6"/>
      <c r="U327" s="6"/>
      <c r="V327" s="6"/>
      <c r="W327" s="6"/>
      <c r="X327" s="6"/>
      <c r="Y327" s="6"/>
      <c r="Z327" s="6"/>
      <c r="AA327" s="6"/>
      <c r="AB327" s="6"/>
      <c r="AC327" s="6"/>
      <c r="AD327" s="6"/>
      <c r="AE327" s="6"/>
      <c r="AF327" s="6"/>
      <c r="AG327" s="6"/>
      <c r="AH327" s="6"/>
      <c r="AI327" s="6"/>
      <c r="AJ327" s="13"/>
      <c r="AK327" s="13">
        <v>34904839</v>
      </c>
      <c r="AL327" s="6">
        <v>55640060</v>
      </c>
      <c r="AM327" s="6">
        <v>53707448</v>
      </c>
      <c r="AN327" s="6">
        <v>55544315</v>
      </c>
      <c r="AO327" s="6">
        <v>52777195</v>
      </c>
      <c r="AP327" s="6">
        <v>56616732</v>
      </c>
      <c r="AQ327" s="6">
        <v>57325355</v>
      </c>
      <c r="AR327" s="6">
        <v>42108434</v>
      </c>
      <c r="AS327" s="6">
        <v>28004284</v>
      </c>
      <c r="AT327" s="6">
        <v>30500183</v>
      </c>
      <c r="AU327" s="6">
        <v>33903973</v>
      </c>
      <c r="AV327" s="6">
        <v>36884424</v>
      </c>
      <c r="AW327" s="13">
        <v>39790710</v>
      </c>
      <c r="AX327" s="5"/>
      <c r="AY327" s="5"/>
      <c r="AZ327" s="5"/>
      <c r="BA327" s="5"/>
      <c r="BB327" s="5"/>
      <c r="BC327" s="31"/>
      <c r="BD327" s="5"/>
      <c r="BE327" s="5"/>
      <c r="BF327" s="5"/>
      <c r="BG327" s="5"/>
      <c r="BH327" s="5"/>
      <c r="BI327" s="5"/>
      <c r="BJ327" s="5"/>
      <c r="BK327" s="5"/>
      <c r="BL327" s="5"/>
      <c r="BM327" s="5"/>
    </row>
    <row r="328" spans="1:65" ht="21" customHeight="1">
      <c r="A328" s="5"/>
      <c r="B328" s="5"/>
      <c r="C328" s="26" t="s">
        <v>84</v>
      </c>
      <c r="D328" s="26"/>
      <c r="E328" s="26"/>
      <c r="F328" s="26"/>
      <c r="G328" s="6"/>
      <c r="H328" s="6"/>
      <c r="I328" s="6"/>
      <c r="J328" s="6"/>
      <c r="K328" s="6"/>
      <c r="L328" s="6"/>
      <c r="M328" s="6"/>
      <c r="N328" s="7"/>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5"/>
      <c r="AU328" s="5"/>
      <c r="AV328" s="5"/>
      <c r="AW328" s="5"/>
      <c r="AX328" s="13">
        <v>86910717</v>
      </c>
      <c r="AY328" s="6">
        <v>92781091</v>
      </c>
      <c r="AZ328" s="6">
        <v>100294873</v>
      </c>
      <c r="BA328" s="6">
        <v>107858419</v>
      </c>
      <c r="BB328" s="6">
        <v>118416134</v>
      </c>
      <c r="BC328" s="7">
        <v>141621691</v>
      </c>
      <c r="BD328" s="6">
        <v>146686828</v>
      </c>
      <c r="BE328" s="6">
        <v>144697385</v>
      </c>
      <c r="BF328" s="6">
        <v>169185757</v>
      </c>
      <c r="BG328" s="6">
        <v>209414113</v>
      </c>
      <c r="BH328" s="6">
        <v>187188207</v>
      </c>
      <c r="BI328" s="6">
        <v>164666245</v>
      </c>
      <c r="BJ328" s="6">
        <v>175041549</v>
      </c>
      <c r="BK328" s="6">
        <v>163378430</v>
      </c>
      <c r="BL328" s="6">
        <v>167522798</v>
      </c>
      <c r="BM328" s="6">
        <v>180008406</v>
      </c>
    </row>
    <row r="329" spans="1:65" ht="21" customHeight="1">
      <c r="A329" s="5"/>
      <c r="B329" s="5"/>
      <c r="C329" s="26" t="s">
        <v>85</v>
      </c>
      <c r="D329" s="26"/>
      <c r="E329" s="26"/>
      <c r="F329" s="26"/>
      <c r="G329" s="6"/>
      <c r="H329" s="6"/>
      <c r="I329" s="6"/>
      <c r="J329" s="6"/>
      <c r="K329" s="6"/>
      <c r="L329" s="6"/>
      <c r="M329" s="6"/>
      <c r="N329" s="7"/>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5"/>
      <c r="AU329" s="5"/>
      <c r="AV329" s="5"/>
      <c r="AW329" s="5"/>
      <c r="AX329" s="13"/>
      <c r="AY329" s="6"/>
      <c r="AZ329" s="6"/>
      <c r="BA329" s="6"/>
      <c r="BB329" s="6"/>
      <c r="BC329" s="7"/>
      <c r="BD329" s="6"/>
      <c r="BE329" s="6"/>
      <c r="BF329" s="6"/>
      <c r="BG329" s="6"/>
      <c r="BH329" s="6">
        <v>47271650</v>
      </c>
      <c r="BI329" s="6">
        <v>94282827</v>
      </c>
      <c r="BJ329" s="6">
        <v>102235376</v>
      </c>
      <c r="BK329" s="6">
        <v>106070753</v>
      </c>
      <c r="BL329" s="6">
        <v>95319634</v>
      </c>
      <c r="BM329" s="6">
        <v>91333094</v>
      </c>
    </row>
    <row r="330" spans="1:65" ht="21" customHeight="1">
      <c r="A330" s="5"/>
      <c r="B330" s="5"/>
      <c r="C330" s="26" t="s">
        <v>86</v>
      </c>
      <c r="D330" s="26"/>
      <c r="E330" s="26"/>
      <c r="F330" s="26"/>
      <c r="G330" s="6"/>
      <c r="H330" s="6"/>
      <c r="I330" s="6"/>
      <c r="J330" s="6"/>
      <c r="K330" s="6"/>
      <c r="L330" s="6"/>
      <c r="M330" s="6"/>
      <c r="N330" s="7"/>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5"/>
      <c r="AU330" s="5"/>
      <c r="AV330" s="5"/>
      <c r="AW330" s="5"/>
      <c r="AX330" s="13"/>
      <c r="AY330" s="6"/>
      <c r="AZ330" s="6"/>
      <c r="BA330" s="6"/>
      <c r="BB330" s="6"/>
      <c r="BC330" s="7"/>
      <c r="BD330" s="6"/>
      <c r="BE330" s="6"/>
      <c r="BF330" s="6"/>
      <c r="BG330" s="6"/>
      <c r="BH330" s="6">
        <v>80000</v>
      </c>
      <c r="BI330" s="6">
        <v>0</v>
      </c>
      <c r="BJ330" s="6"/>
      <c r="BK330" s="6"/>
      <c r="BL330" s="6"/>
      <c r="BM330" s="6"/>
    </row>
    <row r="331" spans="1:65" ht="21" customHeight="1">
      <c r="A331" s="5"/>
      <c r="B331" s="5"/>
      <c r="C331" s="26" t="s">
        <v>87</v>
      </c>
      <c r="D331" s="26"/>
      <c r="E331" s="26"/>
      <c r="F331" s="26"/>
      <c r="G331" s="6"/>
      <c r="H331" s="6"/>
      <c r="I331" s="6"/>
      <c r="J331" s="6"/>
      <c r="K331" s="6"/>
      <c r="L331" s="6"/>
      <c r="M331" s="6"/>
      <c r="N331" s="7"/>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5"/>
      <c r="AU331" s="5"/>
      <c r="AV331" s="5"/>
      <c r="AW331" s="5"/>
      <c r="AX331" s="13"/>
      <c r="AY331" s="6"/>
      <c r="AZ331" s="6"/>
      <c r="BA331" s="6"/>
      <c r="BB331" s="6"/>
      <c r="BC331" s="7"/>
      <c r="BD331" s="6"/>
      <c r="BE331" s="6"/>
      <c r="BF331" s="6"/>
      <c r="BG331" s="6"/>
      <c r="BH331" s="6">
        <v>762163</v>
      </c>
      <c r="BI331" s="6">
        <v>36520809</v>
      </c>
      <c r="BJ331" s="6">
        <v>35567527</v>
      </c>
      <c r="BK331" s="6">
        <v>34930799</v>
      </c>
      <c r="BL331" s="6">
        <v>29337889</v>
      </c>
      <c r="BM331" s="6">
        <v>23556187</v>
      </c>
    </row>
    <row r="332" spans="1:65" ht="21" customHeight="1">
      <c r="A332" s="5"/>
      <c r="B332" s="5"/>
      <c r="C332" s="26" t="s">
        <v>88</v>
      </c>
      <c r="D332" s="26"/>
      <c r="E332" s="26"/>
      <c r="F332" s="26"/>
      <c r="G332" s="6"/>
      <c r="H332" s="6"/>
      <c r="I332" s="6"/>
      <c r="J332" s="6"/>
      <c r="K332" s="6"/>
      <c r="L332" s="6"/>
      <c r="M332" s="6"/>
      <c r="N332" s="7"/>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5"/>
      <c r="AU332" s="5"/>
      <c r="AV332" s="5"/>
      <c r="AW332" s="5"/>
      <c r="AX332" s="13"/>
      <c r="AY332" s="6"/>
      <c r="AZ332" s="6"/>
      <c r="BA332" s="6"/>
      <c r="BB332" s="6"/>
      <c r="BC332" s="7"/>
      <c r="BD332" s="6"/>
      <c r="BE332" s="6"/>
      <c r="BF332" s="6"/>
      <c r="BG332" s="6"/>
      <c r="BH332" s="6"/>
      <c r="BI332" s="6">
        <v>4000000</v>
      </c>
      <c r="BJ332" s="6">
        <v>81130000</v>
      </c>
      <c r="BK332" s="6">
        <v>10560000</v>
      </c>
      <c r="BL332" s="6">
        <v>13407540</v>
      </c>
      <c r="BM332" s="6">
        <v>18500000</v>
      </c>
    </row>
    <row r="333" spans="1:65" ht="21" customHeight="1">
      <c r="A333" s="5"/>
      <c r="B333" s="5"/>
      <c r="C333" s="5" t="s">
        <v>89</v>
      </c>
      <c r="D333" s="5"/>
      <c r="E333" s="5"/>
      <c r="F333" s="5"/>
      <c r="G333" s="6"/>
      <c r="H333" s="6"/>
      <c r="I333" s="6"/>
      <c r="J333" s="6"/>
      <c r="K333" s="6"/>
      <c r="L333" s="6"/>
      <c r="M333" s="6"/>
      <c r="N333" s="7"/>
      <c r="O333" s="6"/>
      <c r="P333" s="6"/>
      <c r="Q333" s="6"/>
      <c r="R333" s="6"/>
      <c r="S333" s="6"/>
      <c r="T333" s="6"/>
      <c r="U333" s="6"/>
      <c r="V333" s="6"/>
      <c r="W333" s="6"/>
      <c r="X333" s="6"/>
      <c r="Y333" s="6"/>
      <c r="Z333" s="6"/>
      <c r="AA333" s="6"/>
      <c r="AB333" s="6"/>
      <c r="AC333" s="6">
        <v>34608</v>
      </c>
      <c r="AD333" s="6">
        <v>61266</v>
      </c>
      <c r="AE333" s="6">
        <v>77317</v>
      </c>
      <c r="AF333" s="6">
        <v>99410</v>
      </c>
      <c r="AG333" s="6">
        <v>112584</v>
      </c>
      <c r="AH333" s="6">
        <v>128619</v>
      </c>
      <c r="AI333" s="6">
        <v>212551</v>
      </c>
      <c r="AJ333" s="6">
        <v>240530</v>
      </c>
      <c r="AK333" s="6">
        <v>315253</v>
      </c>
      <c r="AL333" s="6">
        <v>369305</v>
      </c>
      <c r="AM333" s="6">
        <v>399209</v>
      </c>
      <c r="AN333" s="6">
        <v>592721</v>
      </c>
      <c r="AO333" s="6">
        <v>638713</v>
      </c>
      <c r="AP333" s="6">
        <v>635939</v>
      </c>
      <c r="AQ333" s="6">
        <v>815405</v>
      </c>
      <c r="AR333" s="6">
        <v>753674</v>
      </c>
      <c r="AS333" s="6">
        <v>758267</v>
      </c>
      <c r="AT333" s="6">
        <v>985524</v>
      </c>
      <c r="AU333" s="6">
        <v>854399</v>
      </c>
      <c r="AV333" s="6">
        <v>1120771</v>
      </c>
      <c r="AW333" s="6">
        <v>930702</v>
      </c>
      <c r="AX333" s="6">
        <v>1070407</v>
      </c>
      <c r="AY333" s="6">
        <v>1199314</v>
      </c>
      <c r="AZ333" s="6">
        <v>1123323</v>
      </c>
      <c r="BA333" s="6">
        <v>1546551</v>
      </c>
      <c r="BB333" s="6">
        <v>2683114</v>
      </c>
      <c r="BC333" s="7">
        <v>3447736</v>
      </c>
      <c r="BD333" s="6">
        <v>4605126</v>
      </c>
      <c r="BE333" s="6">
        <v>4877062</v>
      </c>
      <c r="BF333" s="6">
        <v>3620357</v>
      </c>
      <c r="BG333" s="6">
        <v>3790824</v>
      </c>
      <c r="BH333" s="6">
        <v>3941835</v>
      </c>
      <c r="BI333" s="6">
        <v>3707376</v>
      </c>
      <c r="BJ333" s="6">
        <v>3835136</v>
      </c>
      <c r="BK333" s="6">
        <v>3386014</v>
      </c>
      <c r="BL333" s="6">
        <v>3258373</v>
      </c>
      <c r="BM333" s="6">
        <v>3190612</v>
      </c>
    </row>
    <row r="334" spans="1:65" ht="21" customHeight="1">
      <c r="A334" s="5"/>
      <c r="B334" s="5"/>
      <c r="C334" s="5" t="s">
        <v>353</v>
      </c>
      <c r="D334" s="5"/>
      <c r="E334" s="5"/>
      <c r="F334" s="5"/>
      <c r="G334" s="6"/>
      <c r="H334" s="6"/>
      <c r="I334" s="6"/>
      <c r="J334" s="6"/>
      <c r="K334" s="6"/>
      <c r="L334" s="6"/>
      <c r="M334" s="6"/>
      <c r="N334" s="7"/>
      <c r="O334" s="6"/>
      <c r="P334" s="6"/>
      <c r="Q334" s="6"/>
      <c r="R334" s="6"/>
      <c r="S334" s="6"/>
      <c r="T334" s="6"/>
      <c r="U334" s="6"/>
      <c r="V334" s="6"/>
      <c r="W334" s="6"/>
      <c r="X334" s="6"/>
      <c r="Y334" s="6"/>
      <c r="Z334" s="6"/>
      <c r="AA334" s="6"/>
      <c r="AB334" s="6"/>
      <c r="AC334" s="6">
        <v>100</v>
      </c>
      <c r="AD334" s="6">
        <v>100</v>
      </c>
      <c r="AE334" s="6">
        <v>100</v>
      </c>
      <c r="AF334" s="6">
        <v>100</v>
      </c>
      <c r="AG334" s="6">
        <v>100</v>
      </c>
      <c r="AH334" s="6">
        <v>100</v>
      </c>
      <c r="AI334" s="6">
        <v>100</v>
      </c>
      <c r="AJ334" s="6">
        <v>100</v>
      </c>
      <c r="AK334" s="6">
        <v>100</v>
      </c>
      <c r="AL334" s="6">
        <v>100</v>
      </c>
      <c r="AM334" s="6">
        <v>100</v>
      </c>
      <c r="AN334" s="6">
        <v>100</v>
      </c>
      <c r="AO334" s="6">
        <v>100</v>
      </c>
      <c r="AP334" s="6">
        <v>100</v>
      </c>
      <c r="AQ334" s="6">
        <v>100</v>
      </c>
      <c r="AR334" s="6">
        <v>100</v>
      </c>
      <c r="AS334" s="6">
        <v>100</v>
      </c>
      <c r="AT334" s="6">
        <v>100</v>
      </c>
      <c r="AU334" s="6">
        <v>100</v>
      </c>
      <c r="AV334" s="6">
        <v>100</v>
      </c>
      <c r="AW334" s="6">
        <v>100</v>
      </c>
      <c r="AX334" s="6">
        <v>100</v>
      </c>
      <c r="AY334" s="6">
        <v>100</v>
      </c>
      <c r="AZ334" s="6">
        <v>100</v>
      </c>
      <c r="BA334" s="6">
        <v>100</v>
      </c>
      <c r="BB334" s="6">
        <v>100</v>
      </c>
      <c r="BC334" s="7">
        <v>100</v>
      </c>
      <c r="BD334" s="6">
        <v>100</v>
      </c>
      <c r="BE334" s="6">
        <v>100</v>
      </c>
      <c r="BF334" s="6">
        <v>100</v>
      </c>
      <c r="BG334" s="6">
        <v>100</v>
      </c>
      <c r="BH334" s="6">
        <v>200</v>
      </c>
      <c r="BI334" s="6">
        <v>200</v>
      </c>
      <c r="BJ334" s="6">
        <v>200</v>
      </c>
      <c r="BK334" s="6">
        <v>200</v>
      </c>
      <c r="BL334" s="6">
        <v>200</v>
      </c>
      <c r="BM334" s="6">
        <v>200</v>
      </c>
    </row>
    <row r="335" spans="1:65" ht="21" customHeight="1">
      <c r="A335" s="5"/>
      <c r="B335" s="5"/>
      <c r="C335" s="81" t="s">
        <v>334</v>
      </c>
      <c r="D335" s="82"/>
      <c r="E335" s="82"/>
      <c r="F335" s="82"/>
      <c r="G335" s="6"/>
      <c r="H335" s="6"/>
      <c r="I335" s="6"/>
      <c r="J335" s="6"/>
      <c r="K335" s="6"/>
      <c r="L335" s="6"/>
      <c r="M335" s="6"/>
      <c r="N335" s="7"/>
      <c r="O335" s="6"/>
      <c r="P335" s="6"/>
      <c r="Q335" s="6"/>
      <c r="R335" s="6"/>
      <c r="S335" s="6"/>
      <c r="T335" s="6"/>
      <c r="U335" s="6"/>
      <c r="V335" s="6"/>
      <c r="W335" s="6"/>
      <c r="X335" s="6"/>
      <c r="Y335" s="6"/>
      <c r="Z335" s="6"/>
      <c r="AA335" s="6"/>
      <c r="AB335" s="6"/>
      <c r="AC335" s="6">
        <v>92927</v>
      </c>
      <c r="AD335" s="6">
        <v>49416</v>
      </c>
      <c r="AE335" s="6">
        <v>74282</v>
      </c>
      <c r="AF335" s="6">
        <v>134860</v>
      </c>
      <c r="AG335" s="6">
        <v>152079</v>
      </c>
      <c r="AH335" s="6">
        <v>196831</v>
      </c>
      <c r="AI335" s="6">
        <v>0</v>
      </c>
      <c r="AJ335" s="6"/>
      <c r="AK335" s="6"/>
      <c r="AL335" s="5"/>
      <c r="AM335" s="5"/>
      <c r="AN335" s="5"/>
      <c r="AO335" s="5"/>
      <c r="AP335" s="5"/>
      <c r="AQ335" s="5"/>
      <c r="AR335" s="5"/>
      <c r="AS335" s="6"/>
      <c r="AT335" s="6"/>
      <c r="AU335" s="6"/>
      <c r="AV335" s="6"/>
      <c r="AW335" s="6"/>
      <c r="AX335" s="6"/>
      <c r="AY335" s="6"/>
      <c r="AZ335" s="6"/>
      <c r="BA335" s="6"/>
      <c r="BB335" s="6"/>
      <c r="BC335" s="7"/>
      <c r="BD335" s="6"/>
      <c r="BE335" s="6"/>
      <c r="BF335" s="6"/>
      <c r="BG335" s="6"/>
      <c r="BH335" s="6">
        <v>884132434</v>
      </c>
      <c r="BI335" s="6">
        <v>1312688464</v>
      </c>
      <c r="BJ335" s="6">
        <v>1623786211</v>
      </c>
      <c r="BK335" s="6">
        <v>1456643374</v>
      </c>
      <c r="BL335" s="6">
        <v>1566015603</v>
      </c>
      <c r="BM335" s="6">
        <v>1603817710</v>
      </c>
    </row>
    <row r="336" spans="1:65" ht="21" customHeight="1">
      <c r="A336" s="5"/>
      <c r="B336" s="5"/>
      <c r="C336" s="5" t="s">
        <v>335</v>
      </c>
      <c r="D336" s="5"/>
      <c r="E336" s="5"/>
      <c r="F336" s="5"/>
      <c r="G336" s="6"/>
      <c r="H336" s="6"/>
      <c r="I336" s="6"/>
      <c r="J336" s="6"/>
      <c r="K336" s="6"/>
      <c r="L336" s="6"/>
      <c r="M336" s="6"/>
      <c r="N336" s="7"/>
      <c r="O336" s="6"/>
      <c r="P336" s="6"/>
      <c r="Q336" s="6"/>
      <c r="R336" s="6"/>
      <c r="S336" s="6"/>
      <c r="T336" s="6"/>
      <c r="U336" s="6"/>
      <c r="V336" s="6"/>
      <c r="W336" s="6"/>
      <c r="X336" s="6"/>
      <c r="Y336" s="6"/>
      <c r="Z336" s="6"/>
      <c r="AA336" s="6"/>
      <c r="AB336" s="6"/>
      <c r="AC336" s="6">
        <v>300000</v>
      </c>
      <c r="AD336" s="6">
        <v>300000</v>
      </c>
      <c r="AE336" s="6">
        <v>250000</v>
      </c>
      <c r="AF336" s="6">
        <v>580000</v>
      </c>
      <c r="AG336" s="6">
        <v>580000</v>
      </c>
      <c r="AH336" s="6">
        <v>250000</v>
      </c>
      <c r="AI336" s="6">
        <v>500000</v>
      </c>
      <c r="AJ336" s="6">
        <v>3000000</v>
      </c>
      <c r="AK336" s="6">
        <v>3000000</v>
      </c>
      <c r="AL336" s="6">
        <v>3000000</v>
      </c>
      <c r="AM336" s="6">
        <v>3000000</v>
      </c>
      <c r="AN336" s="6">
        <v>3000000</v>
      </c>
      <c r="AO336" s="6">
        <v>3000000</v>
      </c>
      <c r="AP336" s="6">
        <v>3000000</v>
      </c>
      <c r="AQ336" s="6">
        <v>3000000</v>
      </c>
      <c r="AR336" s="6">
        <v>3000000</v>
      </c>
      <c r="AS336" s="6">
        <v>3000000</v>
      </c>
      <c r="AT336" s="6">
        <v>3000000</v>
      </c>
      <c r="AU336" s="6">
        <v>3000000</v>
      </c>
      <c r="AV336" s="6">
        <v>3028000</v>
      </c>
      <c r="AW336" s="6">
        <v>3000000</v>
      </c>
      <c r="AX336" s="6">
        <v>3000000</v>
      </c>
      <c r="AY336" s="6">
        <v>3000000</v>
      </c>
      <c r="AZ336" s="6">
        <v>3000000</v>
      </c>
      <c r="BA336" s="6">
        <v>3000000</v>
      </c>
      <c r="BB336" s="6">
        <v>3000000</v>
      </c>
      <c r="BC336" s="7">
        <v>3000000</v>
      </c>
      <c r="BD336" s="6">
        <v>3000000</v>
      </c>
      <c r="BE336" s="6">
        <v>3000000</v>
      </c>
      <c r="BF336" s="6">
        <v>3000000</v>
      </c>
      <c r="BG336" s="6">
        <v>3000000</v>
      </c>
      <c r="BH336" s="6">
        <v>3060000</v>
      </c>
      <c r="BI336" s="6">
        <v>2550000</v>
      </c>
      <c r="BJ336" s="6">
        <v>2600000</v>
      </c>
      <c r="BK336" s="6">
        <v>2300000</v>
      </c>
      <c r="BL336" s="6">
        <v>1600000</v>
      </c>
      <c r="BM336" s="6">
        <v>1600000</v>
      </c>
    </row>
    <row r="337" spans="1:65" ht="21" customHeight="1">
      <c r="A337" s="5"/>
      <c r="B337" s="5"/>
      <c r="C337" s="5"/>
      <c r="D337" s="5"/>
      <c r="E337" s="5"/>
      <c r="F337" s="5"/>
      <c r="G337" s="6"/>
      <c r="H337" s="6"/>
      <c r="I337" s="6"/>
      <c r="J337" s="6"/>
      <c r="K337" s="6"/>
      <c r="L337" s="6"/>
      <c r="M337" s="6"/>
      <c r="N337" s="7"/>
      <c r="O337" s="6"/>
      <c r="P337" s="6"/>
      <c r="Q337" s="6"/>
      <c r="R337" s="6"/>
      <c r="S337" s="6"/>
      <c r="T337" s="6"/>
      <c r="U337" s="6"/>
      <c r="V337" s="6"/>
      <c r="W337" s="6"/>
      <c r="X337" s="6"/>
      <c r="Y337" s="6"/>
      <c r="Z337" s="6"/>
      <c r="AA337" s="6"/>
      <c r="AB337" s="6"/>
      <c r="AC337" s="6"/>
      <c r="AD337" s="6"/>
      <c r="AE337" s="6"/>
      <c r="AF337" s="6"/>
      <c r="AG337" s="6"/>
      <c r="AH337" s="6"/>
      <c r="AI337" s="6"/>
      <c r="AJ337" s="6"/>
      <c r="AK337" s="6"/>
      <c r="AL337" s="5"/>
      <c r="AM337" s="5"/>
      <c r="AN337" s="5"/>
      <c r="AO337" s="5"/>
      <c r="AP337" s="5"/>
      <c r="AQ337" s="5"/>
      <c r="AR337" s="5"/>
      <c r="AS337" s="6"/>
      <c r="AT337" s="6"/>
      <c r="AU337" s="6"/>
      <c r="AV337" s="6"/>
      <c r="AW337" s="6"/>
      <c r="AX337" s="6"/>
      <c r="AY337" s="6"/>
      <c r="AZ337" s="6"/>
      <c r="BA337" s="6"/>
      <c r="BB337" s="6"/>
      <c r="BC337" s="7"/>
      <c r="BD337" s="6"/>
      <c r="BE337" s="6"/>
      <c r="BF337" s="6"/>
      <c r="BG337" s="6"/>
      <c r="BH337" s="6"/>
      <c r="BI337" s="6"/>
      <c r="BJ337" s="6"/>
      <c r="BK337" s="6"/>
      <c r="BL337" s="6"/>
      <c r="BM337" s="6"/>
    </row>
    <row r="338" spans="1:65" ht="21" customHeight="1">
      <c r="A338" s="64" t="s">
        <v>90</v>
      </c>
      <c r="B338" s="64"/>
      <c r="C338" s="64"/>
      <c r="D338" s="64"/>
      <c r="E338" s="64"/>
      <c r="F338" s="5"/>
      <c r="G338" s="65">
        <v>236429892</v>
      </c>
      <c r="H338" s="65">
        <v>75548598</v>
      </c>
      <c r="I338" s="65">
        <v>17244317</v>
      </c>
      <c r="J338" s="65">
        <v>13689895</v>
      </c>
      <c r="K338" s="65">
        <v>12021698</v>
      </c>
      <c r="L338" s="65">
        <v>11211971</v>
      </c>
      <c r="M338" s="65">
        <v>12625150</v>
      </c>
      <c r="N338" s="66">
        <v>16444397</v>
      </c>
      <c r="O338" s="65">
        <v>14297816</v>
      </c>
      <c r="P338" s="65">
        <f aca="true" t="shared" si="37" ref="P338:AN338">SUM(P153,P159,P206,P240,P268,P307,P316,P323)</f>
        <v>9734760</v>
      </c>
      <c r="Q338" s="65">
        <f t="shared" si="37"/>
        <v>11134533</v>
      </c>
      <c r="R338" s="65">
        <f t="shared" si="37"/>
        <v>14008967</v>
      </c>
      <c r="S338" s="65">
        <f t="shared" si="37"/>
        <v>17879449</v>
      </c>
      <c r="T338" s="65">
        <f t="shared" si="37"/>
        <v>19409606</v>
      </c>
      <c r="U338" s="65">
        <f t="shared" si="37"/>
        <v>21910330</v>
      </c>
      <c r="V338" s="65">
        <f t="shared" si="37"/>
        <v>23754816</v>
      </c>
      <c r="W338" s="65">
        <f t="shared" si="37"/>
        <v>27804415</v>
      </c>
      <c r="X338" s="65">
        <f t="shared" si="37"/>
        <v>78472260</v>
      </c>
      <c r="Y338" s="65">
        <f t="shared" si="37"/>
        <v>75178568</v>
      </c>
      <c r="Z338" s="65">
        <f t="shared" si="37"/>
        <v>112130245</v>
      </c>
      <c r="AA338" s="65">
        <f t="shared" si="37"/>
        <v>127669783</v>
      </c>
      <c r="AB338" s="65">
        <f t="shared" si="37"/>
        <v>142447908</v>
      </c>
      <c r="AC338" s="65">
        <f t="shared" si="37"/>
        <v>174298727</v>
      </c>
      <c r="AD338" s="65">
        <f t="shared" si="37"/>
        <v>187504323</v>
      </c>
      <c r="AE338" s="65">
        <f t="shared" si="37"/>
        <v>223903347</v>
      </c>
      <c r="AF338" s="65">
        <f t="shared" si="37"/>
        <v>272086702</v>
      </c>
      <c r="AG338" s="65">
        <f t="shared" si="37"/>
        <v>294726596</v>
      </c>
      <c r="AH338" s="65">
        <f t="shared" si="37"/>
        <v>372977916</v>
      </c>
      <c r="AI338" s="65">
        <f t="shared" si="37"/>
        <v>517340480</v>
      </c>
      <c r="AJ338" s="65">
        <f t="shared" si="37"/>
        <v>565629043</v>
      </c>
      <c r="AK338" s="65">
        <f t="shared" si="37"/>
        <v>748012222</v>
      </c>
      <c r="AL338" s="65">
        <f t="shared" si="37"/>
        <v>888968563</v>
      </c>
      <c r="AM338" s="65">
        <f t="shared" si="37"/>
        <v>965263650</v>
      </c>
      <c r="AN338" s="65">
        <f t="shared" si="37"/>
        <v>1007246584</v>
      </c>
      <c r="AO338" s="65">
        <f aca="true" t="shared" si="38" ref="AO338:BM338">SUM(AO153,AO159,AO206,AO231,AO240,AO268,AO307,AO316,AO323)</f>
        <v>1157404579</v>
      </c>
      <c r="AP338" s="65">
        <f t="shared" si="38"/>
        <v>1213237924</v>
      </c>
      <c r="AQ338" s="65">
        <f t="shared" si="38"/>
        <v>1387099022</v>
      </c>
      <c r="AR338" s="65">
        <f t="shared" si="38"/>
        <v>1309870800</v>
      </c>
      <c r="AS338" s="65">
        <f t="shared" si="38"/>
        <v>1384468323</v>
      </c>
      <c r="AT338" s="65">
        <f t="shared" si="38"/>
        <v>1766140623</v>
      </c>
      <c r="AU338" s="65">
        <f t="shared" si="38"/>
        <v>1719868940</v>
      </c>
      <c r="AV338" s="65">
        <f t="shared" si="38"/>
        <v>2213186596</v>
      </c>
      <c r="AW338" s="65">
        <f t="shared" si="38"/>
        <v>2304261776</v>
      </c>
      <c r="AX338" s="65">
        <f t="shared" si="38"/>
        <v>2172833437</v>
      </c>
      <c r="AY338" s="65">
        <f t="shared" si="38"/>
        <v>2166769446</v>
      </c>
      <c r="AZ338" s="65">
        <f t="shared" si="38"/>
        <v>2082068725</v>
      </c>
      <c r="BA338" s="65">
        <f t="shared" si="38"/>
        <v>2026871469</v>
      </c>
      <c r="BB338" s="65">
        <f t="shared" si="38"/>
        <v>1914258811</v>
      </c>
      <c r="BC338" s="66">
        <f t="shared" si="38"/>
        <v>1708802089</v>
      </c>
      <c r="BD338" s="65">
        <f t="shared" si="38"/>
        <v>1594662442</v>
      </c>
      <c r="BE338" s="65">
        <f t="shared" si="38"/>
        <v>1454474381</v>
      </c>
      <c r="BF338" s="65">
        <f t="shared" si="38"/>
        <v>1427696627</v>
      </c>
      <c r="BG338" s="65">
        <f t="shared" si="38"/>
        <v>1374243773</v>
      </c>
      <c r="BH338" s="65">
        <f t="shared" si="38"/>
        <v>2319090311</v>
      </c>
      <c r="BI338" s="65">
        <f t="shared" si="38"/>
        <v>2789281016</v>
      </c>
      <c r="BJ338" s="65">
        <f t="shared" si="38"/>
        <v>3101462920</v>
      </c>
      <c r="BK338" s="65">
        <f t="shared" si="38"/>
        <v>2909020951</v>
      </c>
      <c r="BL338" s="65">
        <f t="shared" si="38"/>
        <v>2981291247</v>
      </c>
      <c r="BM338" s="65">
        <f t="shared" si="38"/>
        <v>2912970165</v>
      </c>
    </row>
    <row r="339" spans="1:65" ht="21" customHeight="1">
      <c r="A339" s="5"/>
      <c r="B339" s="5" t="s">
        <v>91</v>
      </c>
      <c r="C339" s="5"/>
      <c r="D339" s="5"/>
      <c r="E339" s="5"/>
      <c r="F339" s="5"/>
      <c r="G339" s="21">
        <v>235251835</v>
      </c>
      <c r="H339" s="21">
        <v>74324054</v>
      </c>
      <c r="I339" s="21">
        <v>14575510</v>
      </c>
      <c r="J339" s="21">
        <v>10317271</v>
      </c>
      <c r="K339" s="21">
        <v>8352501</v>
      </c>
      <c r="L339" s="21">
        <v>7745611</v>
      </c>
      <c r="M339" s="21">
        <v>8876928</v>
      </c>
      <c r="N339" s="98">
        <v>11719266</v>
      </c>
      <c r="O339" s="21">
        <v>8288080</v>
      </c>
      <c r="P339" s="21">
        <f aca="true" t="shared" si="39" ref="P339:BM339">(P338-P341)</f>
        <v>3673454</v>
      </c>
      <c r="Q339" s="21">
        <f t="shared" si="39"/>
        <v>3998020</v>
      </c>
      <c r="R339" s="21">
        <f t="shared" si="39"/>
        <v>5087591</v>
      </c>
      <c r="S339" s="21">
        <f t="shared" si="39"/>
        <v>5934859</v>
      </c>
      <c r="T339" s="21">
        <f t="shared" si="39"/>
        <v>6826458</v>
      </c>
      <c r="U339" s="21">
        <f t="shared" si="39"/>
        <v>8917788</v>
      </c>
      <c r="V339" s="21">
        <f t="shared" si="39"/>
        <v>9136559</v>
      </c>
      <c r="W339" s="21">
        <f t="shared" si="39"/>
        <v>9846750</v>
      </c>
      <c r="X339" s="21">
        <f t="shared" si="39"/>
        <v>66308244</v>
      </c>
      <c r="Y339" s="21">
        <f t="shared" si="39"/>
        <v>67279373</v>
      </c>
      <c r="Z339" s="21">
        <f t="shared" si="39"/>
        <v>94710998</v>
      </c>
      <c r="AA339" s="21">
        <f t="shared" si="39"/>
        <v>104452723</v>
      </c>
      <c r="AB339" s="21">
        <f t="shared" si="39"/>
        <v>110862670</v>
      </c>
      <c r="AC339" s="21">
        <f t="shared" si="39"/>
        <v>142084916</v>
      </c>
      <c r="AD339" s="21">
        <f t="shared" si="39"/>
        <v>149449793</v>
      </c>
      <c r="AE339" s="21">
        <f t="shared" si="39"/>
        <v>171664831</v>
      </c>
      <c r="AF339" s="21">
        <f t="shared" si="39"/>
        <v>206310753</v>
      </c>
      <c r="AG339" s="21">
        <f t="shared" si="39"/>
        <v>204444581</v>
      </c>
      <c r="AH339" s="21">
        <f t="shared" si="39"/>
        <v>247709538</v>
      </c>
      <c r="AI339" s="21">
        <f t="shared" si="39"/>
        <v>380149383</v>
      </c>
      <c r="AJ339" s="21">
        <f t="shared" si="39"/>
        <v>416980290</v>
      </c>
      <c r="AK339" s="21">
        <f t="shared" si="39"/>
        <v>591891029</v>
      </c>
      <c r="AL339" s="21">
        <f t="shared" si="39"/>
        <v>722255366</v>
      </c>
      <c r="AM339" s="21">
        <f t="shared" si="39"/>
        <v>800972106</v>
      </c>
      <c r="AN339" s="21">
        <f t="shared" si="39"/>
        <v>873361412</v>
      </c>
      <c r="AO339" s="21">
        <f t="shared" si="39"/>
        <v>1108001885</v>
      </c>
      <c r="AP339" s="21">
        <f t="shared" si="39"/>
        <v>1170925947</v>
      </c>
      <c r="AQ339" s="21">
        <f t="shared" si="39"/>
        <v>1345869140</v>
      </c>
      <c r="AR339" s="21">
        <f t="shared" si="39"/>
        <v>1272620800</v>
      </c>
      <c r="AS339" s="21">
        <f t="shared" si="39"/>
        <v>1347218323</v>
      </c>
      <c r="AT339" s="21">
        <f t="shared" si="39"/>
        <v>1728890623</v>
      </c>
      <c r="AU339" s="21">
        <f t="shared" si="39"/>
        <v>1682618940</v>
      </c>
      <c r="AV339" s="21">
        <f t="shared" si="39"/>
        <v>2175335596</v>
      </c>
      <c r="AW339" s="21">
        <f t="shared" si="39"/>
        <v>2267011776</v>
      </c>
      <c r="AX339" s="21">
        <f t="shared" si="39"/>
        <v>2135583437</v>
      </c>
      <c r="AY339" s="21">
        <f t="shared" si="39"/>
        <v>2129519446</v>
      </c>
      <c r="AZ339" s="21">
        <f t="shared" si="39"/>
        <v>2044818725</v>
      </c>
      <c r="BA339" s="21">
        <f t="shared" si="39"/>
        <v>1989621469</v>
      </c>
      <c r="BB339" s="21">
        <f t="shared" si="39"/>
        <v>1876008811</v>
      </c>
      <c r="BC339" s="98">
        <f t="shared" si="39"/>
        <v>1681002089</v>
      </c>
      <c r="BD339" s="21">
        <f t="shared" si="39"/>
        <v>1566862442</v>
      </c>
      <c r="BE339" s="21">
        <f t="shared" si="39"/>
        <v>1435774381</v>
      </c>
      <c r="BF339" s="21">
        <f t="shared" si="39"/>
        <v>1402796627</v>
      </c>
      <c r="BG339" s="21">
        <f t="shared" si="39"/>
        <v>1356143773</v>
      </c>
      <c r="BH339" s="21">
        <f t="shared" si="39"/>
        <v>2300930311</v>
      </c>
      <c r="BI339" s="21">
        <f t="shared" si="39"/>
        <v>2772531016</v>
      </c>
      <c r="BJ339" s="21">
        <f t="shared" si="39"/>
        <v>3084662920</v>
      </c>
      <c r="BK339" s="21">
        <f t="shared" si="39"/>
        <v>2892720951</v>
      </c>
      <c r="BL339" s="21">
        <f t="shared" si="39"/>
        <v>2969191247</v>
      </c>
      <c r="BM339" s="21">
        <f t="shared" si="39"/>
        <v>2901170165</v>
      </c>
    </row>
    <row r="340" spans="1:65" ht="21" customHeight="1">
      <c r="A340" s="5"/>
      <c r="B340" s="5" t="s">
        <v>92</v>
      </c>
      <c r="C340" s="5"/>
      <c r="D340" s="5"/>
      <c r="E340" s="5"/>
      <c r="F340" s="5"/>
      <c r="G340" s="21">
        <v>235216389</v>
      </c>
      <c r="H340" s="21">
        <v>74276762</v>
      </c>
      <c r="I340" s="21">
        <v>14503124</v>
      </c>
      <c r="J340" s="21">
        <v>10276557</v>
      </c>
      <c r="K340" s="21">
        <v>8311026</v>
      </c>
      <c r="L340" s="21">
        <v>7701596</v>
      </c>
      <c r="M340" s="21">
        <v>8833711</v>
      </c>
      <c r="N340" s="98">
        <v>11672558</v>
      </c>
      <c r="O340" s="21">
        <v>8241236</v>
      </c>
      <c r="P340" s="21">
        <f aca="true" t="shared" si="40" ref="P340:BJ340">(P338-P341-P342)</f>
        <v>3627862</v>
      </c>
      <c r="Q340" s="21">
        <f t="shared" si="40"/>
        <v>3952998</v>
      </c>
      <c r="R340" s="21">
        <f t="shared" si="40"/>
        <v>5042980</v>
      </c>
      <c r="S340" s="21">
        <f t="shared" si="40"/>
        <v>5909124</v>
      </c>
      <c r="T340" s="21">
        <f t="shared" si="40"/>
        <v>6801905</v>
      </c>
      <c r="U340" s="21">
        <f t="shared" si="40"/>
        <v>8902827</v>
      </c>
      <c r="V340" s="21">
        <f t="shared" si="40"/>
        <v>9120580</v>
      </c>
      <c r="W340" s="21">
        <f t="shared" si="40"/>
        <v>9825452</v>
      </c>
      <c r="X340" s="21">
        <f t="shared" si="40"/>
        <v>66286946</v>
      </c>
      <c r="Y340" s="21">
        <f t="shared" si="40"/>
        <v>67258075</v>
      </c>
      <c r="Z340" s="21">
        <f t="shared" si="40"/>
        <v>94690956</v>
      </c>
      <c r="AA340" s="21">
        <f t="shared" si="40"/>
        <v>103764623</v>
      </c>
      <c r="AB340" s="21">
        <f t="shared" si="40"/>
        <v>109162335</v>
      </c>
      <c r="AC340" s="21">
        <f t="shared" si="40"/>
        <v>137068460</v>
      </c>
      <c r="AD340" s="21">
        <f t="shared" si="40"/>
        <v>140227994</v>
      </c>
      <c r="AE340" s="21">
        <f t="shared" si="40"/>
        <v>161124743</v>
      </c>
      <c r="AF340" s="21">
        <f t="shared" si="40"/>
        <v>205643218</v>
      </c>
      <c r="AG340" s="21">
        <f t="shared" si="40"/>
        <v>203796902</v>
      </c>
      <c r="AH340" s="21">
        <f t="shared" si="40"/>
        <v>247309555</v>
      </c>
      <c r="AI340" s="21">
        <f t="shared" si="40"/>
        <v>379942709</v>
      </c>
      <c r="AJ340" s="21">
        <f t="shared" si="40"/>
        <v>416774947</v>
      </c>
      <c r="AK340" s="21">
        <f t="shared" si="40"/>
        <v>591719217</v>
      </c>
      <c r="AL340" s="21">
        <f t="shared" si="40"/>
        <v>722084427</v>
      </c>
      <c r="AM340" s="21">
        <f t="shared" si="40"/>
        <v>800800493</v>
      </c>
      <c r="AN340" s="21">
        <f t="shared" si="40"/>
        <v>873234545</v>
      </c>
      <c r="AO340" s="21">
        <f t="shared" si="40"/>
        <v>1105168456</v>
      </c>
      <c r="AP340" s="21">
        <f t="shared" si="40"/>
        <v>1155368369</v>
      </c>
      <c r="AQ340" s="21">
        <f t="shared" si="40"/>
        <v>1229647588</v>
      </c>
      <c r="AR340" s="21">
        <f t="shared" si="40"/>
        <v>1031027619</v>
      </c>
      <c r="AS340" s="21">
        <f t="shared" si="40"/>
        <v>1073872399</v>
      </c>
      <c r="AT340" s="21">
        <f t="shared" si="40"/>
        <v>1246797582</v>
      </c>
      <c r="AU340" s="21">
        <f t="shared" si="40"/>
        <v>1359744954</v>
      </c>
      <c r="AV340" s="21">
        <f t="shared" si="40"/>
        <v>1329402365</v>
      </c>
      <c r="AW340" s="21">
        <f t="shared" si="40"/>
        <v>1339972675</v>
      </c>
      <c r="AX340" s="21">
        <f t="shared" si="40"/>
        <v>1411182216</v>
      </c>
      <c r="AY340" s="21">
        <f t="shared" si="40"/>
        <v>1313286236</v>
      </c>
      <c r="AZ340" s="21">
        <f t="shared" si="40"/>
        <v>1352642044</v>
      </c>
      <c r="BA340" s="21">
        <f t="shared" si="40"/>
        <v>1381541883</v>
      </c>
      <c r="BB340" s="21">
        <f t="shared" si="40"/>
        <v>1389658798</v>
      </c>
      <c r="BC340" s="98">
        <f t="shared" si="40"/>
        <v>1386436034</v>
      </c>
      <c r="BD340" s="21">
        <f t="shared" si="40"/>
        <v>1393150895</v>
      </c>
      <c r="BE340" s="21">
        <f t="shared" si="40"/>
        <v>1378550883</v>
      </c>
      <c r="BF340" s="21">
        <f t="shared" si="40"/>
        <v>1365442298</v>
      </c>
      <c r="BG340" s="21">
        <f t="shared" si="40"/>
        <v>1347753967</v>
      </c>
      <c r="BH340" s="21">
        <f t="shared" si="40"/>
        <v>1392898353</v>
      </c>
      <c r="BI340" s="21">
        <f t="shared" si="40"/>
        <v>1405728128</v>
      </c>
      <c r="BJ340" s="21">
        <f t="shared" si="40"/>
        <v>1409682416</v>
      </c>
      <c r="BK340" s="21">
        <f>(BK338-BK341-BK342)</f>
        <v>1425811202</v>
      </c>
      <c r="BL340" s="21">
        <f>(BL338-BL341-BL342)</f>
        <v>1403128849</v>
      </c>
      <c r="BM340" s="21">
        <f>(BM338-BM341-BM342)</f>
        <v>1297307006</v>
      </c>
    </row>
    <row r="341" spans="1:65" ht="21" customHeight="1">
      <c r="A341" s="5"/>
      <c r="B341" s="5"/>
      <c r="C341" s="5" t="s">
        <v>93</v>
      </c>
      <c r="D341" s="5"/>
      <c r="E341" s="5"/>
      <c r="F341" s="5"/>
      <c r="G341" s="21">
        <v>1178057</v>
      </c>
      <c r="H341" s="21">
        <v>1224544</v>
      </c>
      <c r="I341" s="21">
        <v>2668807</v>
      </c>
      <c r="J341" s="21">
        <v>3372624</v>
      </c>
      <c r="K341" s="21">
        <v>3669197</v>
      </c>
      <c r="L341" s="21">
        <v>3466360</v>
      </c>
      <c r="M341" s="21">
        <v>3748222</v>
      </c>
      <c r="N341" s="98">
        <v>4725131</v>
      </c>
      <c r="O341" s="21">
        <v>6009736</v>
      </c>
      <c r="P341" s="21">
        <f aca="true" t="shared" si="41" ref="P341:AN341">P156+P164+P209+P265+P301+P319+P336</f>
        <v>6061306</v>
      </c>
      <c r="Q341" s="21">
        <f t="shared" si="41"/>
        <v>7136513</v>
      </c>
      <c r="R341" s="21">
        <f t="shared" si="41"/>
        <v>8921376</v>
      </c>
      <c r="S341" s="21">
        <f t="shared" si="41"/>
        <v>11944590</v>
      </c>
      <c r="T341" s="21">
        <f t="shared" si="41"/>
        <v>12583148</v>
      </c>
      <c r="U341" s="21">
        <f t="shared" si="41"/>
        <v>12992542</v>
      </c>
      <c r="V341" s="21">
        <f t="shared" si="41"/>
        <v>14618257</v>
      </c>
      <c r="W341" s="21">
        <f t="shared" si="41"/>
        <v>17957665</v>
      </c>
      <c r="X341" s="21">
        <f t="shared" si="41"/>
        <v>12164016</v>
      </c>
      <c r="Y341" s="21">
        <f t="shared" si="41"/>
        <v>7899195</v>
      </c>
      <c r="Z341" s="21">
        <f t="shared" si="41"/>
        <v>17419247</v>
      </c>
      <c r="AA341" s="21">
        <f t="shared" si="41"/>
        <v>23217060</v>
      </c>
      <c r="AB341" s="21">
        <f t="shared" si="41"/>
        <v>31585238</v>
      </c>
      <c r="AC341" s="21">
        <f t="shared" si="41"/>
        <v>32213811</v>
      </c>
      <c r="AD341" s="21">
        <f t="shared" si="41"/>
        <v>38054530</v>
      </c>
      <c r="AE341" s="21">
        <f t="shared" si="41"/>
        <v>52238516</v>
      </c>
      <c r="AF341" s="21">
        <f t="shared" si="41"/>
        <v>65775949</v>
      </c>
      <c r="AG341" s="21">
        <f t="shared" si="41"/>
        <v>90282015</v>
      </c>
      <c r="AH341" s="21">
        <f t="shared" si="41"/>
        <v>125268378</v>
      </c>
      <c r="AI341" s="21">
        <f t="shared" si="41"/>
        <v>137191097</v>
      </c>
      <c r="AJ341" s="21">
        <f t="shared" si="41"/>
        <v>148648753</v>
      </c>
      <c r="AK341" s="21">
        <f t="shared" si="41"/>
        <v>156121193</v>
      </c>
      <c r="AL341" s="21">
        <f t="shared" si="41"/>
        <v>166713197</v>
      </c>
      <c r="AM341" s="21">
        <f t="shared" si="41"/>
        <v>164291544</v>
      </c>
      <c r="AN341" s="21">
        <f t="shared" si="41"/>
        <v>133885172</v>
      </c>
      <c r="AO341" s="21">
        <f aca="true" t="shared" si="42" ref="AO341:BM341">AO156+AO164+AO209+AO236+AO265+AO301+AO319+AO336</f>
        <v>49402694</v>
      </c>
      <c r="AP341" s="21">
        <f t="shared" si="42"/>
        <v>42311977</v>
      </c>
      <c r="AQ341" s="21">
        <f t="shared" si="42"/>
        <v>41229882</v>
      </c>
      <c r="AR341" s="21">
        <f t="shared" si="42"/>
        <v>37250000</v>
      </c>
      <c r="AS341" s="21">
        <f t="shared" si="42"/>
        <v>37250000</v>
      </c>
      <c r="AT341" s="21">
        <f t="shared" si="42"/>
        <v>37250000</v>
      </c>
      <c r="AU341" s="21">
        <f t="shared" si="42"/>
        <v>37250000</v>
      </c>
      <c r="AV341" s="21">
        <f t="shared" si="42"/>
        <v>37851000</v>
      </c>
      <c r="AW341" s="21">
        <f t="shared" si="42"/>
        <v>37250000</v>
      </c>
      <c r="AX341" s="21">
        <f t="shared" si="42"/>
        <v>37250000</v>
      </c>
      <c r="AY341" s="21">
        <f t="shared" si="42"/>
        <v>37250000</v>
      </c>
      <c r="AZ341" s="21">
        <f t="shared" si="42"/>
        <v>37250000</v>
      </c>
      <c r="BA341" s="21">
        <f t="shared" si="42"/>
        <v>37250000</v>
      </c>
      <c r="BB341" s="21">
        <f t="shared" si="42"/>
        <v>38250000</v>
      </c>
      <c r="BC341" s="98">
        <f t="shared" si="42"/>
        <v>27800000</v>
      </c>
      <c r="BD341" s="21">
        <f t="shared" si="42"/>
        <v>27800000</v>
      </c>
      <c r="BE341" s="21">
        <f t="shared" si="42"/>
        <v>18700000</v>
      </c>
      <c r="BF341" s="21">
        <f t="shared" si="42"/>
        <v>24900000</v>
      </c>
      <c r="BG341" s="21">
        <f t="shared" si="42"/>
        <v>18100000</v>
      </c>
      <c r="BH341" s="21">
        <f t="shared" si="42"/>
        <v>18160000</v>
      </c>
      <c r="BI341" s="21">
        <f t="shared" si="42"/>
        <v>16750000</v>
      </c>
      <c r="BJ341" s="21">
        <f t="shared" si="42"/>
        <v>16800000</v>
      </c>
      <c r="BK341" s="21">
        <f t="shared" si="42"/>
        <v>16300000</v>
      </c>
      <c r="BL341" s="21">
        <f t="shared" si="42"/>
        <v>12100000</v>
      </c>
      <c r="BM341" s="21">
        <f t="shared" si="42"/>
        <v>11800000</v>
      </c>
    </row>
    <row r="342" spans="1:65" ht="21" customHeight="1">
      <c r="A342" s="5"/>
      <c r="B342" s="5"/>
      <c r="C342" s="5" t="s">
        <v>94</v>
      </c>
      <c r="D342" s="5"/>
      <c r="E342" s="5"/>
      <c r="F342" s="5"/>
      <c r="G342" s="21">
        <v>35446</v>
      </c>
      <c r="H342" s="21">
        <v>47292</v>
      </c>
      <c r="I342" s="21">
        <v>72386</v>
      </c>
      <c r="J342" s="21">
        <v>40714</v>
      </c>
      <c r="K342" s="21">
        <v>41475</v>
      </c>
      <c r="L342" s="21">
        <v>44015</v>
      </c>
      <c r="M342" s="21">
        <v>43217</v>
      </c>
      <c r="N342" s="98">
        <v>46708</v>
      </c>
      <c r="O342" s="21">
        <v>46844</v>
      </c>
      <c r="P342" s="21">
        <f aca="true" t="shared" si="43" ref="P342:Y342">P162+P264+P300+P318+P155</f>
        <v>45592</v>
      </c>
      <c r="Q342" s="21">
        <f t="shared" si="43"/>
        <v>45022</v>
      </c>
      <c r="R342" s="21">
        <f t="shared" si="43"/>
        <v>44611</v>
      </c>
      <c r="S342" s="21">
        <f t="shared" si="43"/>
        <v>25735</v>
      </c>
      <c r="T342" s="21">
        <f t="shared" si="43"/>
        <v>24553</v>
      </c>
      <c r="U342" s="21">
        <f t="shared" si="43"/>
        <v>14961</v>
      </c>
      <c r="V342" s="21">
        <f t="shared" si="43"/>
        <v>15979</v>
      </c>
      <c r="W342" s="21">
        <f t="shared" si="43"/>
        <v>21298</v>
      </c>
      <c r="X342" s="21">
        <f t="shared" si="43"/>
        <v>21298</v>
      </c>
      <c r="Y342" s="21">
        <f t="shared" si="43"/>
        <v>21298</v>
      </c>
      <c r="Z342" s="21">
        <f>Z162+Z264+Z300+Z318</f>
        <v>20042</v>
      </c>
      <c r="AA342" s="21">
        <f>AA162+AA264+AA300+AA318</f>
        <v>688100</v>
      </c>
      <c r="AB342" s="21">
        <f>AB162+AB264+AB300+AB318</f>
        <v>1700335</v>
      </c>
      <c r="AC342" s="21">
        <f>AC162+AC264+AC300+AC318</f>
        <v>5016456</v>
      </c>
      <c r="AD342" s="21">
        <f>AD162+AD264+AD300+AD318</f>
        <v>9221799</v>
      </c>
      <c r="AE342" s="21">
        <f>AE264+AE300+AE318+AE335</f>
        <v>10540088</v>
      </c>
      <c r="AF342" s="21">
        <f>AF264+AF300+AF318+AF335</f>
        <v>667535</v>
      </c>
      <c r="AG342" s="21">
        <f>AG264+AG300+AG318+AG335</f>
        <v>647679</v>
      </c>
      <c r="AH342" s="21">
        <f>AH264+AH300+AH318+AH335</f>
        <v>399983</v>
      </c>
      <c r="AI342" s="21">
        <f aca="true" t="shared" si="44" ref="AI342:AN342">AI264+AI300+AI318</f>
        <v>206674</v>
      </c>
      <c r="AJ342" s="21">
        <f t="shared" si="44"/>
        <v>205343</v>
      </c>
      <c r="AK342" s="21">
        <f t="shared" si="44"/>
        <v>171812</v>
      </c>
      <c r="AL342" s="21">
        <f t="shared" si="44"/>
        <v>170939</v>
      </c>
      <c r="AM342" s="21">
        <f t="shared" si="44"/>
        <v>171613</v>
      </c>
      <c r="AN342" s="21">
        <f t="shared" si="44"/>
        <v>126867</v>
      </c>
      <c r="AO342" s="21">
        <f aca="true" t="shared" si="45" ref="AO342:BF342">AO162+AO235+AO264+AO300+AO318</f>
        <v>2833429</v>
      </c>
      <c r="AP342" s="21">
        <f t="shared" si="45"/>
        <v>15557578</v>
      </c>
      <c r="AQ342" s="21">
        <f t="shared" si="45"/>
        <v>116221552</v>
      </c>
      <c r="AR342" s="21">
        <f t="shared" si="45"/>
        <v>241593181</v>
      </c>
      <c r="AS342" s="21">
        <f t="shared" si="45"/>
        <v>273345924</v>
      </c>
      <c r="AT342" s="21">
        <f t="shared" si="45"/>
        <v>482093041</v>
      </c>
      <c r="AU342" s="21">
        <f t="shared" si="45"/>
        <v>322873986</v>
      </c>
      <c r="AV342" s="21">
        <f t="shared" si="45"/>
        <v>845933231</v>
      </c>
      <c r="AW342" s="21">
        <f t="shared" si="45"/>
        <v>927039101</v>
      </c>
      <c r="AX342" s="21">
        <f t="shared" si="45"/>
        <v>724401221</v>
      </c>
      <c r="AY342" s="21">
        <f t="shared" si="45"/>
        <v>816233210</v>
      </c>
      <c r="AZ342" s="21">
        <f t="shared" si="45"/>
        <v>692176681</v>
      </c>
      <c r="BA342" s="21">
        <f t="shared" si="45"/>
        <v>608079586</v>
      </c>
      <c r="BB342" s="21">
        <f t="shared" si="45"/>
        <v>486350013</v>
      </c>
      <c r="BC342" s="98">
        <f t="shared" si="45"/>
        <v>294566055</v>
      </c>
      <c r="BD342" s="21">
        <f t="shared" si="45"/>
        <v>173711547</v>
      </c>
      <c r="BE342" s="21">
        <f t="shared" si="45"/>
        <v>57223498</v>
      </c>
      <c r="BF342" s="21">
        <f t="shared" si="45"/>
        <v>37354329</v>
      </c>
      <c r="BG342" s="21">
        <f aca="true" t="shared" si="46" ref="BG342:BM342">BG162+BG235+BG264+BG300+BG318+BG335</f>
        <v>8389806</v>
      </c>
      <c r="BH342" s="21">
        <f t="shared" si="46"/>
        <v>908031958</v>
      </c>
      <c r="BI342" s="21">
        <f t="shared" si="46"/>
        <v>1366802888</v>
      </c>
      <c r="BJ342" s="21">
        <f t="shared" si="46"/>
        <v>1674980504</v>
      </c>
      <c r="BK342" s="21">
        <f t="shared" si="46"/>
        <v>1466909749</v>
      </c>
      <c r="BL342" s="21">
        <f t="shared" si="46"/>
        <v>1566062398</v>
      </c>
      <c r="BM342" s="21">
        <f t="shared" si="46"/>
        <v>1603863159</v>
      </c>
    </row>
    <row r="343" spans="1:65" ht="21" customHeight="1">
      <c r="A343" s="5"/>
      <c r="B343" s="5"/>
      <c r="C343" s="5"/>
      <c r="D343" s="5"/>
      <c r="E343" s="5"/>
      <c r="F343" s="5"/>
      <c r="G343" s="6">
        <f>SUM(G155,G162,G235,G264,G300,G318,G335)</f>
        <v>35446</v>
      </c>
      <c r="H343" s="6">
        <f>SUM(H155,H162,H235,H264,H300,H318,H335)</f>
        <v>47292</v>
      </c>
      <c r="I343" s="6">
        <f aca="true" t="shared" si="47" ref="I343:BM343">SUM(I155,I162,I235,I264,I300,I318,I335)</f>
        <v>72386</v>
      </c>
      <c r="J343" s="6">
        <f t="shared" si="47"/>
        <v>40714</v>
      </c>
      <c r="K343" s="6">
        <f t="shared" si="47"/>
        <v>41475</v>
      </c>
      <c r="L343" s="6">
        <f t="shared" si="47"/>
        <v>44015</v>
      </c>
      <c r="M343" s="6">
        <f t="shared" si="47"/>
        <v>43217</v>
      </c>
      <c r="N343" s="6">
        <f t="shared" si="47"/>
        <v>46708</v>
      </c>
      <c r="O343" s="6">
        <f t="shared" si="47"/>
        <v>46844</v>
      </c>
      <c r="P343" s="6">
        <f t="shared" si="47"/>
        <v>45592</v>
      </c>
      <c r="Q343" s="6">
        <f t="shared" si="47"/>
        <v>45022</v>
      </c>
      <c r="R343" s="6">
        <f t="shared" si="47"/>
        <v>44611</v>
      </c>
      <c r="S343" s="6">
        <f t="shared" si="47"/>
        <v>25735</v>
      </c>
      <c r="T343" s="6">
        <f t="shared" si="47"/>
        <v>24553</v>
      </c>
      <c r="U343" s="6">
        <f t="shared" si="47"/>
        <v>14961</v>
      </c>
      <c r="V343" s="6">
        <f t="shared" si="47"/>
        <v>15979</v>
      </c>
      <c r="W343" s="6">
        <f t="shared" si="47"/>
        <v>21298</v>
      </c>
      <c r="X343" s="6">
        <f t="shared" si="47"/>
        <v>21298</v>
      </c>
      <c r="Y343" s="6">
        <f t="shared" si="47"/>
        <v>21298</v>
      </c>
      <c r="Z343" s="6">
        <f t="shared" si="47"/>
        <v>20042</v>
      </c>
      <c r="AA343" s="6">
        <f t="shared" si="47"/>
        <v>688100</v>
      </c>
      <c r="AB343" s="6">
        <f t="shared" si="47"/>
        <v>1700335</v>
      </c>
      <c r="AC343" s="6">
        <f t="shared" si="47"/>
        <v>5109383</v>
      </c>
      <c r="AD343" s="6">
        <f t="shared" si="47"/>
        <v>9271215</v>
      </c>
      <c r="AE343" s="6">
        <f t="shared" si="47"/>
        <v>10540088</v>
      </c>
      <c r="AF343" s="6">
        <f t="shared" si="47"/>
        <v>667535</v>
      </c>
      <c r="AG343" s="6">
        <f t="shared" si="47"/>
        <v>647679</v>
      </c>
      <c r="AH343" s="6">
        <f t="shared" si="47"/>
        <v>399983</v>
      </c>
      <c r="AI343" s="6">
        <f t="shared" si="47"/>
        <v>206674</v>
      </c>
      <c r="AJ343" s="6">
        <f t="shared" si="47"/>
        <v>205343</v>
      </c>
      <c r="AK343" s="6">
        <f t="shared" si="47"/>
        <v>171812</v>
      </c>
      <c r="AL343" s="6">
        <f t="shared" si="47"/>
        <v>170939</v>
      </c>
      <c r="AM343" s="6">
        <f t="shared" si="47"/>
        <v>171613</v>
      </c>
      <c r="AN343" s="6">
        <f t="shared" si="47"/>
        <v>126867</v>
      </c>
      <c r="AO343" s="6">
        <f t="shared" si="47"/>
        <v>2833429</v>
      </c>
      <c r="AP343" s="6">
        <f t="shared" si="47"/>
        <v>15557578</v>
      </c>
      <c r="AQ343" s="6">
        <f t="shared" si="47"/>
        <v>116221552</v>
      </c>
      <c r="AR343" s="6">
        <f t="shared" si="47"/>
        <v>241593181</v>
      </c>
      <c r="AS343" s="6">
        <f t="shared" si="47"/>
        <v>273345924</v>
      </c>
      <c r="AT343" s="6">
        <f t="shared" si="47"/>
        <v>482093041</v>
      </c>
      <c r="AU343" s="6">
        <f t="shared" si="47"/>
        <v>322873986</v>
      </c>
      <c r="AV343" s="6">
        <f t="shared" si="47"/>
        <v>845933231</v>
      </c>
      <c r="AW343" s="6">
        <f t="shared" si="47"/>
        <v>927039101</v>
      </c>
      <c r="AX343" s="6">
        <f t="shared" si="47"/>
        <v>724401221</v>
      </c>
      <c r="AY343" s="6">
        <f t="shared" si="47"/>
        <v>816233210</v>
      </c>
      <c r="AZ343" s="6">
        <f t="shared" si="47"/>
        <v>692176681</v>
      </c>
      <c r="BA343" s="6">
        <f t="shared" si="47"/>
        <v>608079586</v>
      </c>
      <c r="BB343" s="6">
        <f t="shared" si="47"/>
        <v>486350013</v>
      </c>
      <c r="BC343" s="6">
        <f t="shared" si="47"/>
        <v>294566055</v>
      </c>
      <c r="BD343" s="6">
        <f t="shared" si="47"/>
        <v>173711547</v>
      </c>
      <c r="BE343" s="6">
        <f t="shared" si="47"/>
        <v>57223498</v>
      </c>
      <c r="BF343" s="6">
        <f t="shared" si="47"/>
        <v>37354329</v>
      </c>
      <c r="BG343" s="6">
        <f t="shared" si="47"/>
        <v>8389806</v>
      </c>
      <c r="BH343" s="6">
        <f t="shared" si="47"/>
        <v>908031958</v>
      </c>
      <c r="BI343" s="6">
        <f t="shared" si="47"/>
        <v>1366802888</v>
      </c>
      <c r="BJ343" s="6">
        <f t="shared" si="47"/>
        <v>1674980504</v>
      </c>
      <c r="BK343" s="6">
        <f t="shared" si="47"/>
        <v>1466909749</v>
      </c>
      <c r="BL343" s="6">
        <f t="shared" si="47"/>
        <v>1566062398</v>
      </c>
      <c r="BM343" s="6">
        <f t="shared" si="47"/>
        <v>1603863159</v>
      </c>
    </row>
    <row r="344" spans="1:65" ht="21" customHeight="1">
      <c r="A344" s="64" t="s">
        <v>95</v>
      </c>
      <c r="B344" s="64"/>
      <c r="C344" s="64"/>
      <c r="D344" s="64"/>
      <c r="E344" s="64"/>
      <c r="F344" s="5"/>
      <c r="G344" s="65">
        <v>0</v>
      </c>
      <c r="H344" s="65">
        <v>0</v>
      </c>
      <c r="I344" s="65">
        <v>0</v>
      </c>
      <c r="J344" s="65">
        <v>0</v>
      </c>
      <c r="K344" s="65">
        <v>0</v>
      </c>
      <c r="L344" s="65">
        <v>0</v>
      </c>
      <c r="M344" s="65">
        <v>0</v>
      </c>
      <c r="N344" s="66">
        <v>0</v>
      </c>
      <c r="O344" s="65">
        <v>0</v>
      </c>
      <c r="P344" s="65">
        <f aca="true" t="shared" si="48" ref="P344:BM344">SUM(P240,P268,P307,P316,P323)</f>
        <v>0</v>
      </c>
      <c r="Q344" s="65">
        <f t="shared" si="48"/>
        <v>0</v>
      </c>
      <c r="R344" s="65">
        <f t="shared" si="48"/>
        <v>0</v>
      </c>
      <c r="S344" s="65">
        <f t="shared" si="48"/>
        <v>0</v>
      </c>
      <c r="T344" s="65">
        <f t="shared" si="48"/>
        <v>0</v>
      </c>
      <c r="U344" s="65">
        <f t="shared" si="48"/>
        <v>0</v>
      </c>
      <c r="V344" s="65">
        <f t="shared" si="48"/>
        <v>0</v>
      </c>
      <c r="W344" s="65">
        <f t="shared" si="48"/>
        <v>0</v>
      </c>
      <c r="X344" s="65">
        <f t="shared" si="48"/>
        <v>47147123</v>
      </c>
      <c r="Y344" s="65">
        <f t="shared" si="48"/>
        <v>54592498</v>
      </c>
      <c r="Z344" s="65">
        <f t="shared" si="48"/>
        <v>80816898</v>
      </c>
      <c r="AA344" s="65">
        <f t="shared" si="48"/>
        <v>88561126</v>
      </c>
      <c r="AB344" s="65">
        <f t="shared" si="48"/>
        <v>96539303</v>
      </c>
      <c r="AC344" s="65">
        <f t="shared" si="48"/>
        <v>116011228</v>
      </c>
      <c r="AD344" s="65">
        <f t="shared" si="48"/>
        <v>124682933</v>
      </c>
      <c r="AE344" s="65">
        <f t="shared" si="48"/>
        <v>145582082</v>
      </c>
      <c r="AF344" s="65">
        <f t="shared" si="48"/>
        <v>175289282</v>
      </c>
      <c r="AG344" s="65">
        <f t="shared" si="48"/>
        <v>172328960</v>
      </c>
      <c r="AH344" s="65">
        <f t="shared" si="48"/>
        <v>209708722</v>
      </c>
      <c r="AI344" s="65">
        <f t="shared" si="48"/>
        <v>328736199</v>
      </c>
      <c r="AJ344" s="65">
        <f t="shared" si="48"/>
        <v>366441526</v>
      </c>
      <c r="AK344" s="65">
        <f t="shared" si="48"/>
        <v>538538391</v>
      </c>
      <c r="AL344" s="65">
        <f t="shared" si="48"/>
        <v>652644475</v>
      </c>
      <c r="AM344" s="65">
        <f t="shared" si="48"/>
        <v>709074138</v>
      </c>
      <c r="AN344" s="65">
        <f t="shared" si="48"/>
        <v>757990824</v>
      </c>
      <c r="AO344" s="65">
        <f t="shared" si="48"/>
        <v>777342200</v>
      </c>
      <c r="AP344" s="65">
        <f t="shared" si="48"/>
        <v>828344332</v>
      </c>
      <c r="AQ344" s="65">
        <f t="shared" si="48"/>
        <v>861241521</v>
      </c>
      <c r="AR344" s="65">
        <f t="shared" si="48"/>
        <v>766420392</v>
      </c>
      <c r="AS344" s="65">
        <f t="shared" si="48"/>
        <v>759619361</v>
      </c>
      <c r="AT344" s="65">
        <f t="shared" si="48"/>
        <v>872489776</v>
      </c>
      <c r="AU344" s="65">
        <f t="shared" si="48"/>
        <v>935173634</v>
      </c>
      <c r="AV344" s="65">
        <f t="shared" si="48"/>
        <v>994986704</v>
      </c>
      <c r="AW344" s="65">
        <f t="shared" si="48"/>
        <v>1035984136</v>
      </c>
      <c r="AX344" s="65">
        <f t="shared" si="48"/>
        <v>1075936534</v>
      </c>
      <c r="AY344" s="65">
        <f t="shared" si="48"/>
        <v>1084942478</v>
      </c>
      <c r="AZ344" s="65">
        <f t="shared" si="48"/>
        <v>1137701064</v>
      </c>
      <c r="BA344" s="65">
        <f t="shared" si="48"/>
        <v>1175456802</v>
      </c>
      <c r="BB344" s="65">
        <f t="shared" si="48"/>
        <v>1183006509</v>
      </c>
      <c r="BC344" s="66">
        <f t="shared" si="48"/>
        <v>1180225593</v>
      </c>
      <c r="BD344" s="65">
        <f t="shared" si="48"/>
        <v>1160920177</v>
      </c>
      <c r="BE344" s="65">
        <f t="shared" si="48"/>
        <v>1195834748</v>
      </c>
      <c r="BF344" s="65">
        <f t="shared" si="48"/>
        <v>1238373970</v>
      </c>
      <c r="BG344" s="65">
        <f t="shared" si="48"/>
        <v>1120508741</v>
      </c>
      <c r="BH344" s="65">
        <f t="shared" si="48"/>
        <v>2056285604</v>
      </c>
      <c r="BI344" s="65">
        <f t="shared" si="48"/>
        <v>2489999324</v>
      </c>
      <c r="BJ344" s="65">
        <f t="shared" si="48"/>
        <v>2832857785</v>
      </c>
      <c r="BK344" s="65">
        <f t="shared" si="48"/>
        <v>2632167462</v>
      </c>
      <c r="BL344" s="65">
        <f t="shared" si="48"/>
        <v>2649207299</v>
      </c>
      <c r="BM344" s="65">
        <f t="shared" si="48"/>
        <v>2578069740</v>
      </c>
    </row>
    <row r="345" spans="1:65" ht="21" customHeight="1">
      <c r="A345" s="5"/>
      <c r="B345" s="5" t="s">
        <v>91</v>
      </c>
      <c r="C345" s="5"/>
      <c r="D345" s="5"/>
      <c r="E345" s="5"/>
      <c r="F345" s="5"/>
      <c r="G345" s="21">
        <v>0</v>
      </c>
      <c r="H345" s="21">
        <v>0</v>
      </c>
      <c r="I345" s="21">
        <v>0</v>
      </c>
      <c r="J345" s="21">
        <v>0</v>
      </c>
      <c r="K345" s="21">
        <v>0</v>
      </c>
      <c r="L345" s="21">
        <v>0</v>
      </c>
      <c r="M345" s="21">
        <v>0</v>
      </c>
      <c r="N345" s="98">
        <v>0</v>
      </c>
      <c r="O345" s="21">
        <v>0</v>
      </c>
      <c r="P345" s="21">
        <f aca="true" t="shared" si="49" ref="P345:BM345">(P344-P347)</f>
        <v>0</v>
      </c>
      <c r="Q345" s="21">
        <f t="shared" si="49"/>
        <v>0</v>
      </c>
      <c r="R345" s="21">
        <f t="shared" si="49"/>
        <v>0</v>
      </c>
      <c r="S345" s="21">
        <f t="shared" si="49"/>
        <v>0</v>
      </c>
      <c r="T345" s="21">
        <f t="shared" si="49"/>
        <v>0</v>
      </c>
      <c r="U345" s="21">
        <f t="shared" si="49"/>
        <v>0</v>
      </c>
      <c r="V345" s="21">
        <f t="shared" si="49"/>
        <v>0</v>
      </c>
      <c r="W345" s="21">
        <f t="shared" si="49"/>
        <v>0</v>
      </c>
      <c r="X345" s="21">
        <f t="shared" si="49"/>
        <v>47097123</v>
      </c>
      <c r="Y345" s="21">
        <f t="shared" si="49"/>
        <v>53349388</v>
      </c>
      <c r="Z345" s="21">
        <f t="shared" si="49"/>
        <v>79516898</v>
      </c>
      <c r="AA345" s="21">
        <f t="shared" si="49"/>
        <v>87261126</v>
      </c>
      <c r="AB345" s="21">
        <f t="shared" si="49"/>
        <v>93039303</v>
      </c>
      <c r="AC345" s="21">
        <f t="shared" si="49"/>
        <v>115511228</v>
      </c>
      <c r="AD345" s="21">
        <f t="shared" si="49"/>
        <v>124182933</v>
      </c>
      <c r="AE345" s="21">
        <f t="shared" si="49"/>
        <v>144132082</v>
      </c>
      <c r="AF345" s="21">
        <f t="shared" si="49"/>
        <v>173509282</v>
      </c>
      <c r="AG345" s="21">
        <f t="shared" si="49"/>
        <v>170548960</v>
      </c>
      <c r="AH345" s="21">
        <f t="shared" si="49"/>
        <v>208258722</v>
      </c>
      <c r="AI345" s="21">
        <f t="shared" si="49"/>
        <v>327036199</v>
      </c>
      <c r="AJ345" s="21">
        <f t="shared" si="49"/>
        <v>362241526</v>
      </c>
      <c r="AK345" s="21">
        <f t="shared" si="49"/>
        <v>532538391</v>
      </c>
      <c r="AL345" s="21">
        <f t="shared" si="49"/>
        <v>646444475</v>
      </c>
      <c r="AM345" s="21">
        <f t="shared" si="49"/>
        <v>702874138</v>
      </c>
      <c r="AN345" s="21">
        <f t="shared" si="49"/>
        <v>751790824</v>
      </c>
      <c r="AO345" s="21">
        <f t="shared" si="49"/>
        <v>771142200</v>
      </c>
      <c r="AP345" s="21">
        <f t="shared" si="49"/>
        <v>822144332</v>
      </c>
      <c r="AQ345" s="21">
        <f t="shared" si="49"/>
        <v>855041521</v>
      </c>
      <c r="AR345" s="21">
        <f t="shared" si="49"/>
        <v>760220392</v>
      </c>
      <c r="AS345" s="21">
        <f t="shared" si="49"/>
        <v>753419361</v>
      </c>
      <c r="AT345" s="21">
        <f t="shared" si="49"/>
        <v>866289776</v>
      </c>
      <c r="AU345" s="21">
        <f t="shared" si="49"/>
        <v>928973634</v>
      </c>
      <c r="AV345" s="21">
        <f t="shared" si="49"/>
        <v>988527704</v>
      </c>
      <c r="AW345" s="21">
        <f t="shared" si="49"/>
        <v>1029784136</v>
      </c>
      <c r="AX345" s="21">
        <f t="shared" si="49"/>
        <v>1069736534</v>
      </c>
      <c r="AY345" s="21">
        <f t="shared" si="49"/>
        <v>1078742478</v>
      </c>
      <c r="AZ345" s="21">
        <f t="shared" si="49"/>
        <v>1131501064</v>
      </c>
      <c r="BA345" s="21">
        <f t="shared" si="49"/>
        <v>1169256802</v>
      </c>
      <c r="BB345" s="21">
        <f t="shared" si="49"/>
        <v>1175806509</v>
      </c>
      <c r="BC345" s="98">
        <f t="shared" si="49"/>
        <v>1173225593</v>
      </c>
      <c r="BD345" s="21">
        <f t="shared" si="49"/>
        <v>1153920177</v>
      </c>
      <c r="BE345" s="21">
        <f t="shared" si="49"/>
        <v>1188934748</v>
      </c>
      <c r="BF345" s="21">
        <f t="shared" si="49"/>
        <v>1225073970</v>
      </c>
      <c r="BG345" s="21">
        <f t="shared" si="49"/>
        <v>1114008741</v>
      </c>
      <c r="BH345" s="21">
        <f t="shared" si="49"/>
        <v>2049725604</v>
      </c>
      <c r="BI345" s="21">
        <f t="shared" si="49"/>
        <v>2484649324</v>
      </c>
      <c r="BJ345" s="21">
        <f t="shared" si="49"/>
        <v>2827457785</v>
      </c>
      <c r="BK345" s="21">
        <f t="shared" si="49"/>
        <v>2627267462</v>
      </c>
      <c r="BL345" s="21">
        <f t="shared" si="49"/>
        <v>2646407299</v>
      </c>
      <c r="BM345" s="21">
        <f t="shared" si="49"/>
        <v>2575569740</v>
      </c>
    </row>
    <row r="346" spans="1:65" ht="21" customHeight="1">
      <c r="A346" s="5"/>
      <c r="B346" s="5" t="s">
        <v>96</v>
      </c>
      <c r="C346" s="5"/>
      <c r="D346" s="5"/>
      <c r="E346" s="5"/>
      <c r="F346" s="5"/>
      <c r="G346" s="21">
        <v>0</v>
      </c>
      <c r="H346" s="21">
        <v>0</v>
      </c>
      <c r="I346" s="21">
        <v>0</v>
      </c>
      <c r="J346" s="21">
        <v>0</v>
      </c>
      <c r="K346" s="21">
        <v>0</v>
      </c>
      <c r="L346" s="21">
        <v>0</v>
      </c>
      <c r="M346" s="21">
        <v>0</v>
      </c>
      <c r="N346" s="98">
        <v>0</v>
      </c>
      <c r="O346" s="21">
        <v>0</v>
      </c>
      <c r="P346" s="21">
        <f aca="true" t="shared" si="50" ref="P346:BJ346">(P344-P347-P348)</f>
        <v>0</v>
      </c>
      <c r="Q346" s="21">
        <f t="shared" si="50"/>
        <v>0</v>
      </c>
      <c r="R346" s="21">
        <f t="shared" si="50"/>
        <v>0</v>
      </c>
      <c r="S346" s="21">
        <f t="shared" si="50"/>
        <v>0</v>
      </c>
      <c r="T346" s="21">
        <f t="shared" si="50"/>
        <v>0</v>
      </c>
      <c r="U346" s="21">
        <f t="shared" si="50"/>
        <v>0</v>
      </c>
      <c r="V346" s="21">
        <f t="shared" si="50"/>
        <v>0</v>
      </c>
      <c r="W346" s="21">
        <f t="shared" si="50"/>
        <v>0</v>
      </c>
      <c r="X346" s="21">
        <f t="shared" si="50"/>
        <v>47097123</v>
      </c>
      <c r="Y346" s="21">
        <f t="shared" si="50"/>
        <v>53349388</v>
      </c>
      <c r="Z346" s="21">
        <f t="shared" si="50"/>
        <v>79496856</v>
      </c>
      <c r="AA346" s="21">
        <f t="shared" si="50"/>
        <v>86573026</v>
      </c>
      <c r="AB346" s="21">
        <f t="shared" si="50"/>
        <v>91338968</v>
      </c>
      <c r="AC346" s="21">
        <f t="shared" si="50"/>
        <v>110401845</v>
      </c>
      <c r="AD346" s="21">
        <f t="shared" si="50"/>
        <v>114911718</v>
      </c>
      <c r="AE346" s="21">
        <f t="shared" si="50"/>
        <v>133591994</v>
      </c>
      <c r="AF346" s="21">
        <f t="shared" si="50"/>
        <v>172841747</v>
      </c>
      <c r="AG346" s="21">
        <f t="shared" si="50"/>
        <v>169901281</v>
      </c>
      <c r="AH346" s="21">
        <f t="shared" si="50"/>
        <v>207858739</v>
      </c>
      <c r="AI346" s="21">
        <f t="shared" si="50"/>
        <v>326829525</v>
      </c>
      <c r="AJ346" s="21">
        <f t="shared" si="50"/>
        <v>362036183</v>
      </c>
      <c r="AK346" s="21">
        <f t="shared" si="50"/>
        <v>532366579</v>
      </c>
      <c r="AL346" s="21">
        <f t="shared" si="50"/>
        <v>646273536</v>
      </c>
      <c r="AM346" s="21">
        <f t="shared" si="50"/>
        <v>702702525</v>
      </c>
      <c r="AN346" s="21">
        <f t="shared" si="50"/>
        <v>751663957</v>
      </c>
      <c r="AO346" s="21">
        <f t="shared" si="50"/>
        <v>770999692</v>
      </c>
      <c r="AP346" s="21">
        <f t="shared" si="50"/>
        <v>822002901</v>
      </c>
      <c r="AQ346" s="21">
        <f t="shared" si="50"/>
        <v>854901550</v>
      </c>
      <c r="AR346" s="21">
        <f t="shared" si="50"/>
        <v>759689452</v>
      </c>
      <c r="AS346" s="21">
        <f t="shared" si="50"/>
        <v>751921799</v>
      </c>
      <c r="AT346" s="21">
        <f t="shared" si="50"/>
        <v>864395387</v>
      </c>
      <c r="AU346" s="21">
        <f t="shared" si="50"/>
        <v>920492329</v>
      </c>
      <c r="AV346" s="21">
        <f t="shared" si="50"/>
        <v>958838524</v>
      </c>
      <c r="AW346" s="21">
        <f t="shared" si="50"/>
        <v>1029396835</v>
      </c>
      <c r="AX346" s="21">
        <f t="shared" si="50"/>
        <v>1069351795</v>
      </c>
      <c r="AY346" s="21">
        <f t="shared" si="50"/>
        <v>1078324576</v>
      </c>
      <c r="AZ346" s="21">
        <f t="shared" si="50"/>
        <v>1131065635</v>
      </c>
      <c r="BA346" s="21">
        <f t="shared" si="50"/>
        <v>1168813492</v>
      </c>
      <c r="BB346" s="21">
        <f t="shared" si="50"/>
        <v>1175497141</v>
      </c>
      <c r="BC346" s="98">
        <f t="shared" si="50"/>
        <v>1172085826</v>
      </c>
      <c r="BD346" s="21">
        <f t="shared" si="50"/>
        <v>1152553659</v>
      </c>
      <c r="BE346" s="21">
        <f t="shared" si="50"/>
        <v>1166567016</v>
      </c>
      <c r="BF346" s="21">
        <f t="shared" si="50"/>
        <v>1187758771</v>
      </c>
      <c r="BG346" s="21">
        <f t="shared" si="50"/>
        <v>1105644135</v>
      </c>
      <c r="BH346" s="21">
        <f t="shared" si="50"/>
        <v>1141719947</v>
      </c>
      <c r="BI346" s="21">
        <f t="shared" si="50"/>
        <v>1117874589</v>
      </c>
      <c r="BJ346" s="21">
        <f t="shared" si="50"/>
        <v>1152509073</v>
      </c>
      <c r="BK346" s="21">
        <f>(BK344-BK347-BK348)</f>
        <v>1160389603</v>
      </c>
      <c r="BL346" s="21">
        <f>(BL344-BL347-BL348)</f>
        <v>1080391696</v>
      </c>
      <c r="BM346" s="21">
        <f>(BM344-BM347-BM348)</f>
        <v>971752030</v>
      </c>
    </row>
    <row r="347" spans="1:65" ht="21" customHeight="1">
      <c r="A347" s="5"/>
      <c r="B347" s="5"/>
      <c r="C347" s="5" t="s">
        <v>93</v>
      </c>
      <c r="D347" s="5"/>
      <c r="E347" s="5"/>
      <c r="F347" s="5"/>
      <c r="G347" s="21">
        <v>0</v>
      </c>
      <c r="H347" s="21">
        <v>0</v>
      </c>
      <c r="I347" s="21">
        <v>0</v>
      </c>
      <c r="J347" s="21">
        <v>0</v>
      </c>
      <c r="K347" s="21">
        <v>0</v>
      </c>
      <c r="L347" s="21">
        <v>0</v>
      </c>
      <c r="M347" s="21">
        <v>0</v>
      </c>
      <c r="N347" s="98">
        <v>0</v>
      </c>
      <c r="O347" s="21">
        <v>0</v>
      </c>
      <c r="P347" s="21">
        <f aca="true" t="shared" si="51" ref="P347:BM347">P265+P301+P319+P336</f>
        <v>0</v>
      </c>
      <c r="Q347" s="21">
        <f t="shared" si="51"/>
        <v>0</v>
      </c>
      <c r="R347" s="21">
        <f t="shared" si="51"/>
        <v>0</v>
      </c>
      <c r="S347" s="21">
        <f t="shared" si="51"/>
        <v>0</v>
      </c>
      <c r="T347" s="21">
        <f t="shared" si="51"/>
        <v>0</v>
      </c>
      <c r="U347" s="21">
        <f t="shared" si="51"/>
        <v>0</v>
      </c>
      <c r="V347" s="21">
        <f t="shared" si="51"/>
        <v>0</v>
      </c>
      <c r="W347" s="21">
        <f t="shared" si="51"/>
        <v>0</v>
      </c>
      <c r="X347" s="21">
        <f t="shared" si="51"/>
        <v>50000</v>
      </c>
      <c r="Y347" s="21">
        <f t="shared" si="51"/>
        <v>1243110</v>
      </c>
      <c r="Z347" s="21">
        <f t="shared" si="51"/>
        <v>1300000</v>
      </c>
      <c r="AA347" s="21">
        <f t="shared" si="51"/>
        <v>1300000</v>
      </c>
      <c r="AB347" s="21">
        <f t="shared" si="51"/>
        <v>3500000</v>
      </c>
      <c r="AC347" s="21">
        <f t="shared" si="51"/>
        <v>500000</v>
      </c>
      <c r="AD347" s="21">
        <f t="shared" si="51"/>
        <v>500000</v>
      </c>
      <c r="AE347" s="21">
        <f t="shared" si="51"/>
        <v>1450000</v>
      </c>
      <c r="AF347" s="21">
        <f t="shared" si="51"/>
        <v>1780000</v>
      </c>
      <c r="AG347" s="21">
        <f t="shared" si="51"/>
        <v>1780000</v>
      </c>
      <c r="AH347" s="21">
        <f t="shared" si="51"/>
        <v>1450000</v>
      </c>
      <c r="AI347" s="21">
        <f t="shared" si="51"/>
        <v>1700000</v>
      </c>
      <c r="AJ347" s="21">
        <f t="shared" si="51"/>
        <v>4200000</v>
      </c>
      <c r="AK347" s="21">
        <f t="shared" si="51"/>
        <v>6000000</v>
      </c>
      <c r="AL347" s="21">
        <f t="shared" si="51"/>
        <v>6200000</v>
      </c>
      <c r="AM347" s="21">
        <f t="shared" si="51"/>
        <v>6200000</v>
      </c>
      <c r="AN347" s="21">
        <f t="shared" si="51"/>
        <v>6200000</v>
      </c>
      <c r="AO347" s="21">
        <f t="shared" si="51"/>
        <v>6200000</v>
      </c>
      <c r="AP347" s="21">
        <f t="shared" si="51"/>
        <v>6200000</v>
      </c>
      <c r="AQ347" s="21">
        <f t="shared" si="51"/>
        <v>6200000</v>
      </c>
      <c r="AR347" s="21">
        <f t="shared" si="51"/>
        <v>6200000</v>
      </c>
      <c r="AS347" s="21">
        <f t="shared" si="51"/>
        <v>6200000</v>
      </c>
      <c r="AT347" s="21">
        <f t="shared" si="51"/>
        <v>6200000</v>
      </c>
      <c r="AU347" s="21">
        <f t="shared" si="51"/>
        <v>6200000</v>
      </c>
      <c r="AV347" s="21">
        <f t="shared" si="51"/>
        <v>6459000</v>
      </c>
      <c r="AW347" s="21">
        <f t="shared" si="51"/>
        <v>6200000</v>
      </c>
      <c r="AX347" s="21">
        <f t="shared" si="51"/>
        <v>6200000</v>
      </c>
      <c r="AY347" s="21">
        <f t="shared" si="51"/>
        <v>6200000</v>
      </c>
      <c r="AZ347" s="21">
        <f t="shared" si="51"/>
        <v>6200000</v>
      </c>
      <c r="BA347" s="21">
        <f t="shared" si="51"/>
        <v>6200000</v>
      </c>
      <c r="BB347" s="21">
        <f t="shared" si="51"/>
        <v>7200000</v>
      </c>
      <c r="BC347" s="98">
        <f t="shared" si="51"/>
        <v>7000000</v>
      </c>
      <c r="BD347" s="21">
        <f t="shared" si="51"/>
        <v>7000000</v>
      </c>
      <c r="BE347" s="21">
        <f t="shared" si="51"/>
        <v>6900000</v>
      </c>
      <c r="BF347" s="21">
        <f t="shared" si="51"/>
        <v>13300000</v>
      </c>
      <c r="BG347" s="21">
        <f t="shared" si="51"/>
        <v>6500000</v>
      </c>
      <c r="BH347" s="21">
        <f t="shared" si="51"/>
        <v>6560000</v>
      </c>
      <c r="BI347" s="21">
        <f t="shared" si="51"/>
        <v>5350000</v>
      </c>
      <c r="BJ347" s="21">
        <f t="shared" si="51"/>
        <v>5400000</v>
      </c>
      <c r="BK347" s="21">
        <f t="shared" si="51"/>
        <v>4900000</v>
      </c>
      <c r="BL347" s="21">
        <f t="shared" si="51"/>
        <v>2800000</v>
      </c>
      <c r="BM347" s="21">
        <f t="shared" si="51"/>
        <v>2500000</v>
      </c>
    </row>
    <row r="348" spans="1:65" ht="21" customHeight="1">
      <c r="A348" s="5"/>
      <c r="B348" s="5"/>
      <c r="C348" s="81" t="s">
        <v>94</v>
      </c>
      <c r="D348" s="82"/>
      <c r="E348" s="82"/>
      <c r="F348" s="82"/>
      <c r="G348" s="21">
        <v>0</v>
      </c>
      <c r="H348" s="21">
        <v>0</v>
      </c>
      <c r="I348" s="21">
        <v>0</v>
      </c>
      <c r="J348" s="21">
        <v>0</v>
      </c>
      <c r="K348" s="21">
        <v>0</v>
      </c>
      <c r="L348" s="21">
        <v>0</v>
      </c>
      <c r="M348" s="21">
        <v>0</v>
      </c>
      <c r="N348" s="98">
        <v>0</v>
      </c>
      <c r="O348" s="21">
        <v>0</v>
      </c>
      <c r="P348" s="21">
        <f aca="true" t="shared" si="52" ref="P348:BM348">P264+P300+P318+P335</f>
        <v>0</v>
      </c>
      <c r="Q348" s="21">
        <f t="shared" si="52"/>
        <v>0</v>
      </c>
      <c r="R348" s="21">
        <f t="shared" si="52"/>
        <v>0</v>
      </c>
      <c r="S348" s="21">
        <f t="shared" si="52"/>
        <v>0</v>
      </c>
      <c r="T348" s="21">
        <f t="shared" si="52"/>
        <v>0</v>
      </c>
      <c r="U348" s="21">
        <f t="shared" si="52"/>
        <v>0</v>
      </c>
      <c r="V348" s="21">
        <f t="shared" si="52"/>
        <v>0</v>
      </c>
      <c r="W348" s="21">
        <f t="shared" si="52"/>
        <v>0</v>
      </c>
      <c r="X348" s="21">
        <f t="shared" si="52"/>
        <v>0</v>
      </c>
      <c r="Y348" s="21">
        <f t="shared" si="52"/>
        <v>0</v>
      </c>
      <c r="Z348" s="21">
        <f t="shared" si="52"/>
        <v>20042</v>
      </c>
      <c r="AA348" s="21">
        <f t="shared" si="52"/>
        <v>688100</v>
      </c>
      <c r="AB348" s="21">
        <f t="shared" si="52"/>
        <v>1700335</v>
      </c>
      <c r="AC348" s="21">
        <f t="shared" si="52"/>
        <v>5109383</v>
      </c>
      <c r="AD348" s="21">
        <f t="shared" si="52"/>
        <v>9271215</v>
      </c>
      <c r="AE348" s="21">
        <f t="shared" si="52"/>
        <v>10540088</v>
      </c>
      <c r="AF348" s="21">
        <f t="shared" si="52"/>
        <v>667535</v>
      </c>
      <c r="AG348" s="21">
        <f t="shared" si="52"/>
        <v>647679</v>
      </c>
      <c r="AH348" s="21">
        <f t="shared" si="52"/>
        <v>399983</v>
      </c>
      <c r="AI348" s="21">
        <f t="shared" si="52"/>
        <v>206674</v>
      </c>
      <c r="AJ348" s="21">
        <f t="shared" si="52"/>
        <v>205343</v>
      </c>
      <c r="AK348" s="21">
        <f t="shared" si="52"/>
        <v>171812</v>
      </c>
      <c r="AL348" s="21">
        <f t="shared" si="52"/>
        <v>170939</v>
      </c>
      <c r="AM348" s="21">
        <f t="shared" si="52"/>
        <v>171613</v>
      </c>
      <c r="AN348" s="21">
        <f t="shared" si="52"/>
        <v>126867</v>
      </c>
      <c r="AO348" s="21">
        <f t="shared" si="52"/>
        <v>142508</v>
      </c>
      <c r="AP348" s="21">
        <f t="shared" si="52"/>
        <v>141431</v>
      </c>
      <c r="AQ348" s="21">
        <f t="shared" si="52"/>
        <v>139971</v>
      </c>
      <c r="AR348" s="21">
        <f t="shared" si="52"/>
        <v>530940</v>
      </c>
      <c r="AS348" s="21">
        <f t="shared" si="52"/>
        <v>1497562</v>
      </c>
      <c r="AT348" s="21">
        <f t="shared" si="52"/>
        <v>1894389</v>
      </c>
      <c r="AU348" s="21">
        <f t="shared" si="52"/>
        <v>8481305</v>
      </c>
      <c r="AV348" s="21">
        <f t="shared" si="52"/>
        <v>29689180</v>
      </c>
      <c r="AW348" s="21">
        <f t="shared" si="52"/>
        <v>387301</v>
      </c>
      <c r="AX348" s="21">
        <f t="shared" si="52"/>
        <v>384739</v>
      </c>
      <c r="AY348" s="21">
        <f t="shared" si="52"/>
        <v>417902</v>
      </c>
      <c r="AZ348" s="21">
        <f t="shared" si="52"/>
        <v>435429</v>
      </c>
      <c r="BA348" s="21">
        <f t="shared" si="52"/>
        <v>443310</v>
      </c>
      <c r="BB348" s="21">
        <f t="shared" si="52"/>
        <v>309368</v>
      </c>
      <c r="BC348" s="98">
        <f t="shared" si="52"/>
        <v>1139767</v>
      </c>
      <c r="BD348" s="21">
        <f t="shared" si="52"/>
        <v>1366518</v>
      </c>
      <c r="BE348" s="21">
        <f t="shared" si="52"/>
        <v>22367732</v>
      </c>
      <c r="BF348" s="21">
        <f t="shared" si="52"/>
        <v>37315199</v>
      </c>
      <c r="BG348" s="21">
        <f t="shared" si="52"/>
        <v>8364606</v>
      </c>
      <c r="BH348" s="21">
        <f t="shared" si="52"/>
        <v>908005657</v>
      </c>
      <c r="BI348" s="21">
        <f t="shared" si="52"/>
        <v>1366774735</v>
      </c>
      <c r="BJ348" s="21">
        <f t="shared" si="52"/>
        <v>1674948712</v>
      </c>
      <c r="BK348" s="21">
        <f t="shared" si="52"/>
        <v>1466877859</v>
      </c>
      <c r="BL348" s="21">
        <f t="shared" si="52"/>
        <v>1566015603</v>
      </c>
      <c r="BM348" s="21">
        <f t="shared" si="52"/>
        <v>1603817710</v>
      </c>
    </row>
    <row r="349" spans="1:65" ht="21" customHeight="1">
      <c r="A349" s="5"/>
      <c r="B349" s="5"/>
      <c r="C349" s="5"/>
      <c r="D349" s="5"/>
      <c r="E349" s="5"/>
      <c r="F349" s="5"/>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5"/>
      <c r="AO349" s="5"/>
      <c r="AP349" s="5"/>
      <c r="AQ349" s="5"/>
      <c r="AR349" s="5"/>
      <c r="AS349" s="6"/>
      <c r="AT349" s="6"/>
      <c r="AU349" s="6"/>
      <c r="AV349" s="6"/>
      <c r="AW349" s="6"/>
      <c r="AX349" s="6"/>
      <c r="AY349" s="6"/>
      <c r="AZ349" s="6"/>
      <c r="BA349" s="6"/>
      <c r="BB349" s="6"/>
      <c r="BC349" s="7"/>
      <c r="BD349" s="6"/>
      <c r="BE349" s="6"/>
      <c r="BF349" s="6"/>
      <c r="BG349" s="6"/>
      <c r="BH349" s="6"/>
      <c r="BI349" s="6"/>
      <c r="BJ349" s="6"/>
      <c r="BK349" s="6"/>
      <c r="BL349" s="6"/>
      <c r="BM349" s="6"/>
    </row>
    <row r="351" spans="60:65" ht="13.5">
      <c r="BH351" s="100"/>
      <c r="BI351" s="100"/>
      <c r="BJ351" s="100"/>
      <c r="BK351" s="100"/>
      <c r="BL351" s="100"/>
      <c r="BM351" s="100"/>
    </row>
    <row r="352" spans="2:33" ht="13.5">
      <c r="B352" s="52"/>
      <c r="C352" s="52"/>
      <c r="D352" s="52"/>
      <c r="E352" s="52"/>
      <c r="F352" s="52"/>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row>
    <row r="353" spans="1:65" ht="13.5">
      <c r="A353" s="1" t="s">
        <v>97</v>
      </c>
      <c r="B353" s="52"/>
      <c r="C353" s="52"/>
      <c r="D353" s="52"/>
      <c r="E353" s="52"/>
      <c r="F353" s="52"/>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BJ353" s="100"/>
      <c r="BK353" s="100"/>
      <c r="BL353" s="100"/>
      <c r="BM353" s="100"/>
    </row>
    <row r="354" spans="1:33" ht="13.5">
      <c r="A354" s="52" t="s">
        <v>98</v>
      </c>
      <c r="B354" s="52"/>
      <c r="C354" s="52"/>
      <c r="D354" s="52"/>
      <c r="E354" s="52"/>
      <c r="F354" s="52"/>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row>
    <row r="355" spans="1:33" ht="13.5">
      <c r="A355" s="52"/>
      <c r="B355" s="52" t="s">
        <v>99</v>
      </c>
      <c r="C355" s="52"/>
      <c r="D355" s="52"/>
      <c r="E355" s="52"/>
      <c r="F355" s="52"/>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row>
    <row r="356" spans="1:33" ht="13.5">
      <c r="A356" s="52" t="s">
        <v>100</v>
      </c>
      <c r="B356" s="52"/>
      <c r="C356" s="52"/>
      <c r="D356" s="52"/>
      <c r="E356" s="52"/>
      <c r="F356" s="52"/>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row>
    <row r="357" spans="1:33" ht="13.5">
      <c r="A357" s="52"/>
      <c r="B357" s="52" t="s">
        <v>101</v>
      </c>
      <c r="C357" s="52"/>
      <c r="D357" s="52"/>
      <c r="E357" s="52"/>
      <c r="F357" s="52"/>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row>
    <row r="358" spans="1:33" ht="13.5">
      <c r="A358" s="52"/>
      <c r="B358" s="52" t="s">
        <v>102</v>
      </c>
      <c r="C358" s="52"/>
      <c r="D358" s="52"/>
      <c r="E358" s="52"/>
      <c r="F358" s="52"/>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row>
    <row r="359" spans="1:33" ht="13.5">
      <c r="A359" s="52" t="s">
        <v>103</v>
      </c>
      <c r="B359" s="52"/>
      <c r="C359" s="52"/>
      <c r="D359" s="52"/>
      <c r="E359" s="52"/>
      <c r="F359" s="52"/>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row>
    <row r="360" spans="1:33" ht="13.5">
      <c r="A360" s="52" t="s">
        <v>104</v>
      </c>
      <c r="B360" s="52"/>
      <c r="C360" s="52"/>
      <c r="D360" s="52"/>
      <c r="E360" s="52"/>
      <c r="F360" s="52"/>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row>
    <row r="361" spans="1:33" ht="13.5">
      <c r="A361" s="52"/>
      <c r="B361" s="52" t="s">
        <v>105</v>
      </c>
      <c r="C361" s="52"/>
      <c r="D361" s="52"/>
      <c r="E361" s="52"/>
      <c r="F361" s="52"/>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row>
    <row r="362" spans="1:33" ht="13.5">
      <c r="A362" s="52"/>
      <c r="B362" s="52" t="s">
        <v>106</v>
      </c>
      <c r="C362" s="52"/>
      <c r="D362" s="52"/>
      <c r="E362" s="52"/>
      <c r="F362" s="52"/>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row>
    <row r="363" spans="1:33" ht="13.5">
      <c r="A363" s="52"/>
      <c r="B363" s="52" t="s">
        <v>107</v>
      </c>
      <c r="C363" s="52"/>
      <c r="D363" s="52"/>
      <c r="E363" s="52"/>
      <c r="F363" s="52"/>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row>
    <row r="364" spans="1:43" ht="13.5">
      <c r="A364" s="52"/>
      <c r="B364" s="52" t="s">
        <v>108</v>
      </c>
      <c r="C364" s="52"/>
      <c r="D364" s="52"/>
      <c r="E364" s="52"/>
      <c r="F364" s="52"/>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M364" s="100"/>
      <c r="AN364" s="100"/>
      <c r="AO364" s="100"/>
      <c r="AP364" s="100"/>
      <c r="AQ364" s="100"/>
    </row>
    <row r="365" spans="1:43" ht="13.5">
      <c r="A365" s="52" t="s">
        <v>109</v>
      </c>
      <c r="B365" s="52"/>
      <c r="C365" s="52"/>
      <c r="D365" s="52"/>
      <c r="E365" s="52"/>
      <c r="F365" s="52"/>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M365" s="100"/>
      <c r="AN365" s="100"/>
      <c r="AO365" s="100"/>
      <c r="AP365" s="100"/>
      <c r="AQ365" s="100"/>
    </row>
    <row r="366" spans="1:43" ht="13.5">
      <c r="A366" s="52"/>
      <c r="B366" s="52" t="s">
        <v>110</v>
      </c>
      <c r="C366" s="52"/>
      <c r="D366" s="52"/>
      <c r="E366" s="52"/>
      <c r="F366" s="52"/>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M366" s="100"/>
      <c r="AN366" s="100"/>
      <c r="AO366" s="100"/>
      <c r="AP366" s="100"/>
      <c r="AQ366" s="100"/>
    </row>
    <row r="367" spans="1:33" ht="13.5">
      <c r="A367" s="52"/>
      <c r="B367" s="52" t="s">
        <v>111</v>
      </c>
      <c r="C367" s="52"/>
      <c r="D367" s="52"/>
      <c r="E367" s="52"/>
      <c r="F367" s="52"/>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row>
    <row r="368" spans="1:33" ht="13.5">
      <c r="A368" s="52"/>
      <c r="B368" s="52" t="s">
        <v>112</v>
      </c>
      <c r="C368" s="52"/>
      <c r="D368" s="52"/>
      <c r="E368" s="52"/>
      <c r="F368" s="52"/>
      <c r="G368" s="11"/>
      <c r="H368" s="11"/>
      <c r="I368" s="11"/>
      <c r="J368" s="11"/>
      <c r="K368" s="11"/>
      <c r="L368" s="11"/>
      <c r="M368" s="11"/>
      <c r="N368" s="11"/>
      <c r="O368" s="11"/>
      <c r="P368" s="11"/>
      <c r="Q368" s="11"/>
      <c r="R368" s="11"/>
      <c r="AG368" s="11"/>
    </row>
    <row r="369" ht="13.5">
      <c r="AG369" s="11"/>
    </row>
    <row r="370" spans="1:33" ht="13.5">
      <c r="A370" s="1" t="s">
        <v>113</v>
      </c>
      <c r="AG370" s="11"/>
    </row>
    <row r="371" ht="13.5">
      <c r="A371" s="1" t="s">
        <v>114</v>
      </c>
    </row>
    <row r="372" ht="13.5">
      <c r="A372" s="1" t="s">
        <v>115</v>
      </c>
    </row>
    <row r="373" ht="13.5">
      <c r="A373" s="1" t="s">
        <v>116</v>
      </c>
    </row>
    <row r="374" ht="13.5">
      <c r="A374" s="1" t="s">
        <v>117</v>
      </c>
    </row>
    <row r="375" ht="13.5">
      <c r="A375" s="1" t="s">
        <v>118</v>
      </c>
    </row>
    <row r="377" ht="13.5">
      <c r="A377" s="1" t="s">
        <v>119</v>
      </c>
    </row>
    <row r="378" ht="13.5">
      <c r="A378" s="1" t="s">
        <v>120</v>
      </c>
    </row>
    <row r="379" ht="13.5">
      <c r="A379" s="1" t="s">
        <v>121</v>
      </c>
    </row>
    <row r="380" ht="13.5">
      <c r="A380" s="1" t="s">
        <v>122</v>
      </c>
    </row>
    <row r="382" ht="13.5">
      <c r="A382" s="1" t="s">
        <v>123</v>
      </c>
    </row>
    <row r="383" ht="13.5">
      <c r="A383" s="1" t="s">
        <v>124</v>
      </c>
    </row>
    <row r="384" ht="13.5">
      <c r="A384" s="1" t="s">
        <v>125</v>
      </c>
    </row>
    <row r="385" ht="13.5">
      <c r="A385" s="1" t="s">
        <v>126</v>
      </c>
    </row>
    <row r="387" ht="13.5">
      <c r="A387" s="1" t="s">
        <v>127</v>
      </c>
    </row>
    <row r="388" ht="13.5">
      <c r="A388" s="1" t="s">
        <v>128</v>
      </c>
    </row>
    <row r="389" ht="13.5">
      <c r="A389" s="1" t="s">
        <v>129</v>
      </c>
    </row>
    <row r="391" ht="13.5">
      <c r="A391" s="1" t="s">
        <v>130</v>
      </c>
    </row>
    <row r="392" ht="13.5">
      <c r="A392" s="1" t="s">
        <v>131</v>
      </c>
    </row>
    <row r="393" ht="13.5">
      <c r="A393" s="1" t="s">
        <v>132</v>
      </c>
    </row>
    <row r="394" ht="13.5">
      <c r="A394" s="1" t="s">
        <v>133</v>
      </c>
    </row>
    <row r="396" ht="13.5">
      <c r="A396" s="1" t="s">
        <v>134</v>
      </c>
    </row>
    <row r="399" ht="13.5">
      <c r="B399" s="106" t="s">
        <v>135</v>
      </c>
    </row>
    <row r="411" spans="7:14" ht="13.5">
      <c r="G411" s="105"/>
      <c r="H411" s="105"/>
      <c r="I411" s="105"/>
      <c r="J411" s="105"/>
      <c r="K411" s="105"/>
      <c r="L411" s="105"/>
      <c r="M411" s="105"/>
      <c r="N411" s="105"/>
    </row>
    <row r="412" spans="7:14" ht="13.5">
      <c r="G412" s="105"/>
      <c r="H412" s="105"/>
      <c r="I412" s="105"/>
      <c r="J412" s="105"/>
      <c r="K412" s="105"/>
      <c r="L412" s="105"/>
      <c r="M412" s="105"/>
      <c r="N412" s="105"/>
    </row>
    <row r="413" spans="7:14" ht="13.5">
      <c r="G413" s="105"/>
      <c r="H413" s="105"/>
      <c r="I413" s="105"/>
      <c r="J413" s="105"/>
      <c r="K413" s="105"/>
      <c r="L413" s="105"/>
      <c r="M413" s="105"/>
      <c r="N413" s="105"/>
    </row>
    <row r="415" spans="7:14" ht="13.5">
      <c r="G415" s="105"/>
      <c r="H415" s="105"/>
      <c r="I415" s="105"/>
      <c r="J415" s="105"/>
      <c r="K415" s="105"/>
      <c r="L415" s="105"/>
      <c r="M415" s="105"/>
      <c r="N415" s="105"/>
    </row>
    <row r="418" spans="7:14" ht="13.5">
      <c r="G418" s="105"/>
      <c r="H418" s="105"/>
      <c r="I418" s="105"/>
      <c r="J418" s="105"/>
      <c r="K418" s="105"/>
      <c r="L418" s="105"/>
      <c r="M418" s="105"/>
      <c r="N418" s="105"/>
    </row>
  </sheetData>
  <sheetProtection/>
  <mergeCells count="11">
    <mergeCell ref="L53:L54"/>
    <mergeCell ref="M53:M54"/>
    <mergeCell ref="C85:F85"/>
    <mergeCell ref="H53:H54"/>
    <mergeCell ref="I53:I54"/>
    <mergeCell ref="J53:J54"/>
    <mergeCell ref="K53:K54"/>
    <mergeCell ref="C22:F22"/>
    <mergeCell ref="C23:F23"/>
    <mergeCell ref="C24:F24"/>
    <mergeCell ref="G53:G54"/>
  </mergeCells>
  <printOptions/>
  <pageMargins left="0.75" right="0.75" top="1" bottom="1" header="0.512" footer="0.51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odaka-konosuke</dc:creator>
  <cp:keywords/>
  <dc:description/>
  <cp:lastModifiedBy>RIETI</cp:lastModifiedBy>
  <cp:lastPrinted>2012-10-16T03:47:53Z</cp:lastPrinted>
  <dcterms:created xsi:type="dcterms:W3CDTF">2012-09-07T02:45:32Z</dcterms:created>
  <dcterms:modified xsi:type="dcterms:W3CDTF">2013-01-25T07:16:03Z</dcterms:modified>
  <cp:category/>
  <cp:version/>
  <cp:contentType/>
  <cp:contentStatus/>
</cp:coreProperties>
</file>